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ate1904="1"/>
  <mc:AlternateContent xmlns:mc="http://schemas.openxmlformats.org/markup-compatibility/2006">
    <mc:Choice Requires="x15">
      <x15ac:absPath xmlns:x15ac="http://schemas.microsoft.com/office/spreadsheetml/2010/11/ac" url="/Users/paulcain/Desktop/"/>
    </mc:Choice>
  </mc:AlternateContent>
  <xr:revisionPtr revIDLastSave="0" documentId="13_ncr:1_{7756DC54-1552-0A40-B923-FDF9E7B125F4}" xr6:coauthVersionLast="36" xr6:coauthVersionMax="36" xr10:uidLastSave="{00000000-0000-0000-0000-000000000000}"/>
  <bookViews>
    <workbookView xWindow="0" yWindow="440" windowWidth="19220" windowHeight="15560" xr2:uid="{00000000-000D-0000-FFFF-FFFF00000000}"/>
  </bookViews>
  <sheets>
    <sheet name="ID - Intellectual Disability - " sheetId="2" r:id="rId1"/>
    <sheet name="LD_Autism - Learning Disability" sheetId="3" r:id="rId2"/>
    <sheet name="Physical - Physical Disability " sheetId="4" r:id="rId3"/>
    <sheet name="Psychiatric - Psychiatric Disab" sheetId="5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5" l="1"/>
  <c r="E38" i="5"/>
  <c r="D38" i="5"/>
  <c r="C38" i="5"/>
  <c r="B38" i="5"/>
  <c r="F37" i="5"/>
  <c r="F44" i="5" s="1"/>
  <c r="E37" i="5"/>
  <c r="E44" i="5" s="1"/>
  <c r="D37" i="5"/>
  <c r="D44" i="5" s="1"/>
  <c r="C37" i="5"/>
  <c r="C44" i="5" s="1"/>
  <c r="B37" i="5"/>
  <c r="B44" i="5" s="1"/>
  <c r="F33" i="5"/>
  <c r="E33" i="5"/>
  <c r="D33" i="5"/>
  <c r="C33" i="5"/>
  <c r="B33" i="5"/>
  <c r="F31" i="5"/>
  <c r="E31" i="5"/>
  <c r="D31" i="5"/>
  <c r="C31" i="5"/>
  <c r="B31" i="5"/>
  <c r="B34" i="5" s="1"/>
  <c r="B48" i="5" s="1"/>
  <c r="B49" i="5" s="1"/>
  <c r="C15" i="5"/>
  <c r="B15" i="5"/>
  <c r="C14" i="5"/>
  <c r="C19" i="5" s="1"/>
  <c r="B14" i="5"/>
  <c r="B19" i="5" s="1"/>
  <c r="B21" i="5" s="1"/>
  <c r="B11" i="5"/>
  <c r="C9" i="5"/>
  <c r="B9" i="5"/>
  <c r="F43" i="4"/>
  <c r="C43" i="4"/>
  <c r="B43" i="4"/>
  <c r="F38" i="4"/>
  <c r="E38" i="4"/>
  <c r="D38" i="4"/>
  <c r="C38" i="4"/>
  <c r="B38" i="4"/>
  <c r="F37" i="4"/>
  <c r="E37" i="4"/>
  <c r="E43" i="4" s="1"/>
  <c r="D37" i="4"/>
  <c r="D43" i="4" s="1"/>
  <c r="C37" i="4"/>
  <c r="B37" i="4"/>
  <c r="F33" i="4"/>
  <c r="E33" i="4"/>
  <c r="D33" i="4"/>
  <c r="C33" i="4"/>
  <c r="B34" i="4" s="1"/>
  <c r="B48" i="4" s="1"/>
  <c r="B49" i="4" s="1"/>
  <c r="B33" i="4"/>
  <c r="F31" i="4"/>
  <c r="E31" i="4"/>
  <c r="D31" i="4"/>
  <c r="C31" i="4"/>
  <c r="B31" i="4"/>
  <c r="C15" i="4"/>
  <c r="B15" i="4"/>
  <c r="C14" i="4"/>
  <c r="C19" i="4" s="1"/>
  <c r="B14" i="4"/>
  <c r="B19" i="4" s="1"/>
  <c r="B21" i="4" s="1"/>
  <c r="B11" i="4"/>
  <c r="F43" i="3"/>
  <c r="E43" i="3"/>
  <c r="B43" i="3"/>
  <c r="F38" i="3"/>
  <c r="E38" i="3"/>
  <c r="D38" i="3"/>
  <c r="C38" i="3"/>
  <c r="B38" i="3"/>
  <c r="F37" i="3"/>
  <c r="E37" i="3"/>
  <c r="D37" i="3"/>
  <c r="D43" i="3" s="1"/>
  <c r="C37" i="3"/>
  <c r="C43" i="3" s="1"/>
  <c r="B37" i="3"/>
  <c r="F33" i="3"/>
  <c r="E33" i="3"/>
  <c r="D33" i="3"/>
  <c r="C33" i="3"/>
  <c r="B33" i="3"/>
  <c r="F31" i="3"/>
  <c r="E31" i="3"/>
  <c r="D31" i="3"/>
  <c r="C31" i="3"/>
  <c r="B31" i="3"/>
  <c r="B34" i="3" s="1"/>
  <c r="B48" i="3" s="1"/>
  <c r="B49" i="3" s="1"/>
  <c r="C15" i="3"/>
  <c r="B15" i="3"/>
  <c r="C14" i="3"/>
  <c r="C19" i="3" s="1"/>
  <c r="B14" i="3"/>
  <c r="B19" i="3" s="1"/>
  <c r="B21" i="3" s="1"/>
  <c r="B11" i="3"/>
  <c r="C9" i="3"/>
  <c r="B9" i="3"/>
  <c r="F43" i="2"/>
  <c r="C43" i="2"/>
  <c r="B43" i="2"/>
  <c r="F38" i="2"/>
  <c r="E38" i="2"/>
  <c r="D38" i="2"/>
  <c r="C38" i="2"/>
  <c r="B38" i="2"/>
  <c r="F37" i="2"/>
  <c r="E37" i="2"/>
  <c r="E43" i="2" s="1"/>
  <c r="D37" i="2"/>
  <c r="D43" i="2" s="1"/>
  <c r="C37" i="2"/>
  <c r="B37" i="2"/>
  <c r="F33" i="2"/>
  <c r="E33" i="2"/>
  <c r="D33" i="2"/>
  <c r="C33" i="2"/>
  <c r="B34" i="2" s="1"/>
  <c r="B33" i="2"/>
  <c r="F31" i="2"/>
  <c r="E31" i="2"/>
  <c r="D31" i="2"/>
  <c r="C31" i="2"/>
  <c r="B31" i="2"/>
  <c r="C15" i="2"/>
  <c r="B15" i="2"/>
  <c r="C14" i="2"/>
  <c r="C19" i="2" s="1"/>
  <c r="B14" i="2"/>
  <c r="B19" i="2" s="1"/>
  <c r="B21" i="2" s="1"/>
  <c r="C9" i="2"/>
  <c r="B9" i="2"/>
  <c r="B11" i="2" s="1"/>
  <c r="B45" i="2" l="1"/>
  <c r="B51" i="2" s="1"/>
  <c r="B52" i="2" s="1"/>
  <c r="B45" i="3"/>
  <c r="B51" i="3" s="1"/>
  <c r="B52" i="3" s="1"/>
  <c r="B48" i="2"/>
  <c r="B49" i="2" s="1"/>
  <c r="B45" i="5"/>
  <c r="B51" i="5" s="1"/>
  <c r="B52" i="5" s="1"/>
  <c r="B45" i="4"/>
  <c r="B51" i="4" s="1"/>
  <c r="B52" i="4" s="1"/>
</calcChain>
</file>

<file path=xl/sharedStrings.xml><?xml version="1.0" encoding="utf-8"?>
<sst xmlns="http://schemas.openxmlformats.org/spreadsheetml/2006/main" count="183" uniqueCount="81">
  <si>
    <t>Intellectual Disability - DES-ESS</t>
  </si>
  <si>
    <t>DES-ESS Funding 2010 (GST exclusive)</t>
  </si>
  <si>
    <t>Funding Level</t>
  </si>
  <si>
    <t>Quarterly Fees</t>
  </si>
  <si>
    <t>Outcome Payments</t>
  </si>
  <si>
    <t>Job Placement</t>
  </si>
  <si>
    <t>13 Week</t>
  </si>
  <si>
    <t>26 Week</t>
  </si>
  <si>
    <t>Total Payment +3 Quarterly Fees</t>
  </si>
  <si>
    <t>DES-ESS Funding Level Proportion (DES Evaluation, Primary ID, 30 June 2012)</t>
  </si>
  <si>
    <t>Average 2010 Funding</t>
  </si>
  <si>
    <t>DES-ESS Funding 2010 based on placement &amp; outcome rates (DES Outcomes by Disability Type, December 2017)</t>
  </si>
  <si>
    <t>No Job Placement (8 Quarterly Fees @ 55.1%)</t>
  </si>
  <si>
    <t>Job Placement (3 Quarterly Fees @ 44.9%)</t>
  </si>
  <si>
    <t>Job Placement (@ 44.9%)</t>
  </si>
  <si>
    <t>13 Week Outcome (@ 38.8%)</t>
  </si>
  <si>
    <t>26 Week Outcome (@ 32.7%)</t>
  </si>
  <si>
    <t>Total Payment</t>
  </si>
  <si>
    <t>DES-ESS Funding 2018</t>
  </si>
  <si>
    <t>4 Week</t>
  </si>
  <si>
    <t>52 Week</t>
  </si>
  <si>
    <t>Total Payments (+3 Quarterly Fees)</t>
  </si>
  <si>
    <t>ID Sample  (DSS Mapping)</t>
  </si>
  <si>
    <t>% of ID Sample</t>
  </si>
  <si>
    <t>Average 2018 Funding</t>
  </si>
  <si>
    <t>DES-ESS Funding 2018 based on placement &amp; outcome rates (DES Outcomes by Disability, December 2017)</t>
  </si>
  <si>
    <t>Job Placement/4 Week (3 Quarterly Fees @ 44.9%)</t>
  </si>
  <si>
    <t>4 Week (@ 44.9%)</t>
  </si>
  <si>
    <t>26 Week Outcome (@ 32.7%))</t>
  </si>
  <si>
    <t>52 Week Outcome (@ 21.4%)</t>
  </si>
  <si>
    <t>Average Funding 2018</t>
  </si>
  <si>
    <t>Average 2018 DES-ESS funding cut for participants with intellectual disability (based on achievement of all outcome milestones)</t>
  </si>
  <si>
    <t>Average 2018 DES-ESS funding cut for participants with intellectual disability (based on average placement and outcome rates)</t>
  </si>
  <si>
    <t>Learning Disability &amp; Autism - DES-ESS</t>
  </si>
  <si>
    <t>DES-ESS Funding 2010 (as published; GST Exclusive)</t>
  </si>
  <si>
    <t>DES-ESS Funding Level Proportion (DES Evaluation, Primary LD/Autism, 30 June 2012)</t>
  </si>
  <si>
    <t>2010 DES-ESS funding based on placement and outcomes rates (DES Outcomes by Disability Type, December 2017)</t>
  </si>
  <si>
    <t>No Job Placement (8 Quarterly Fees @ 56.1%)</t>
  </si>
  <si>
    <t>Job Placement (3 Quarterly Fees @ 43.9%)</t>
  </si>
  <si>
    <t>Job Placement (@ 43.9%)</t>
  </si>
  <si>
    <t>13 Week Outcome (@ 38.3%)</t>
  </si>
  <si>
    <t>26 Week Outcome (@ 31.7%)</t>
  </si>
  <si>
    <t>DES-ESS Funding Level Proportion (DES Evaluation, Primary LD/Aut, 30 June 2012)</t>
  </si>
  <si>
    <t>DES-ESS 2018</t>
  </si>
  <si>
    <t>Total Outcome Payments</t>
  </si>
  <si>
    <t>LD/Autism Sample (DSS Mapping)</t>
  </si>
  <si>
    <t>% of LD/Autism Sample</t>
  </si>
  <si>
    <t>DES-ESS funding based on placement and outcome rates (DES Outcomes by Disability, December 2017)</t>
  </si>
  <si>
    <t>52 Week Outcome (@ 20.2%)</t>
  </si>
  <si>
    <t>Average 2018 DES-ESS funding cut for participants with learning disability &amp; autism based on achievement of all outcome milestones</t>
  </si>
  <si>
    <t>Average 2018 DES-ESS funding cut for participants with learning disability &amp; autism based on average placement and outcome rates</t>
  </si>
  <si>
    <t>Physical Disability - DES-ESS</t>
  </si>
  <si>
    <t>DES-ESS Funding 2010 (GST Exclusive)</t>
  </si>
  <si>
    <t>Total Payment +3 Service Fees</t>
  </si>
  <si>
    <t>DES-ESS Funding Level Proportion (DES Evaluation, Physical Disability, 30 June 2012)</t>
  </si>
  <si>
    <t>Funding based on placement and outcomes rates (DES Outcomes by Disability Type, December 2017)</t>
  </si>
  <si>
    <t>No Job Placement (8 Service Fees @ 75.2%)</t>
  </si>
  <si>
    <t>Job Placement (3 Service Fees @ 24.8%)</t>
  </si>
  <si>
    <t>Job Placement (@ 24.8%)</t>
  </si>
  <si>
    <t>13 Week Outcome (@ 21.2%)</t>
  </si>
  <si>
    <t>26 Week Outcome (@ 17.5%)</t>
  </si>
  <si>
    <t>Total Payments +3 Service Fees</t>
  </si>
  <si>
    <t>% of PD Sample</t>
  </si>
  <si>
    <t>Funding based on placement and outcome rates (DES Outcomes by Disability, December 2017)</t>
  </si>
  <si>
    <t>52 Week Outcome (@ 10.9%)</t>
  </si>
  <si>
    <t>Average 2018 DES-ESS funding increase for participants with physical disability based on achievement of all outcome milestones</t>
  </si>
  <si>
    <t>Average 2018 DES-ESS funding increase for participants with physical disability based on average placement and outcome rates</t>
  </si>
  <si>
    <t>Psychiatric Disability DES-ESS</t>
  </si>
  <si>
    <t>DES-ESS Funding Level Proportion (DES Evaluation, Primary Psychiatric Disability, 30 June 2012)</t>
  </si>
  <si>
    <t>No Job Placement (8 Quarterly Fees @ 69.4%)</t>
  </si>
  <si>
    <t>Job Placement/4 Week (3 Quarterly Fees @ 30.6%)</t>
  </si>
  <si>
    <t>Job Placement (@ 30.6%)</t>
  </si>
  <si>
    <t>13 Week Outcome (@ 24.0%)</t>
  </si>
  <si>
    <t>26 Week Outcome (@ 19.2%)</t>
  </si>
  <si>
    <t>Psychiatric Disability Sample (DSS Modelling)</t>
  </si>
  <si>
    <t>% of Psychiatric Disability Sample</t>
  </si>
  <si>
    <t>Job Placement/4 week (3 Quarterly Fees @ 30.6%)</t>
  </si>
  <si>
    <t>Job Placement/4 Week (@ 30.6%)</t>
  </si>
  <si>
    <t>52 Week Outcome (@ 11.8%)</t>
  </si>
  <si>
    <t>Average 2018 DES-ESS funding increase for participants with psychiatric disability based on achievement of all outcome milestones</t>
  </si>
  <si>
    <t>Average 2018 DES-ESS funding cut for participants with psychiatric disability based on average placement and outcome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</si>
</sst>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??;_-@_-"/>
    <numFmt numFmtId="165" formatCode="#,##0.0%"/>
    <numFmt numFmtId="166" formatCode="&quot;$&quot;#,##0"/>
  </numFmts>
  <fonts count="5" x14ac:knownFonts="1">
    <font>
      <sz val="10"/>
      <color indexed="8"/>
      <name val="Helvetica Neue"/>
    </font>
    <font>
      <sz val="11"/>
      <color indexed="8"/>
      <name val="Helvetica Neue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6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/>
      <diagonal/>
    </border>
    <border>
      <left/>
      <right/>
      <top/>
      <bottom/>
      <diagonal/>
    </border>
    <border>
      <left style="thin">
        <color indexed="19"/>
      </left>
      <right style="thin">
        <color indexed="20"/>
      </right>
      <top/>
      <bottom style="thin">
        <color indexed="19"/>
      </bottom>
      <diagonal/>
    </border>
    <border>
      <left style="thin">
        <color indexed="20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20"/>
      </right>
      <top style="thin">
        <color indexed="19"/>
      </top>
      <bottom style="thin">
        <color indexed="19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 style="thin">
        <color indexed="14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4" borderId="2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6" fontId="3" fillId="4" borderId="3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165" fontId="3" fillId="4" borderId="2" xfId="0" applyNumberFormat="1" applyFont="1" applyFill="1" applyBorder="1" applyAlignment="1">
      <alignment vertical="center" wrapText="1"/>
    </xf>
    <xf numFmtId="165" fontId="3" fillId="4" borderId="3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49" fontId="2" fillId="5" borderId="1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3" fontId="3" fillId="5" borderId="3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3" fontId="2" fillId="5" borderId="2" xfId="0" applyNumberFormat="1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49" fontId="4" fillId="6" borderId="4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0" fillId="6" borderId="4" xfId="0" applyNumberFormat="1" applyFont="1" applyFill="1" applyBorder="1" applyAlignment="1">
      <alignment vertical="top" wrapText="1"/>
    </xf>
    <xf numFmtId="3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5" fontId="0" fillId="0" borderId="5" xfId="0" applyNumberFormat="1" applyFont="1" applyBorder="1" applyAlignment="1">
      <alignment vertical="top" wrapText="1"/>
    </xf>
    <xf numFmtId="165" fontId="0" fillId="0" borderId="6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166" fontId="0" fillId="0" borderId="5" xfId="0" applyNumberFormat="1" applyFont="1" applyBorder="1" applyAlignment="1">
      <alignment vertical="top" wrapText="1"/>
    </xf>
    <xf numFmtId="166" fontId="0" fillId="0" borderId="6" xfId="0" applyNumberFormat="1" applyFont="1" applyBorder="1" applyAlignment="1">
      <alignment vertical="top" wrapText="1"/>
    </xf>
    <xf numFmtId="49" fontId="4" fillId="5" borderId="4" xfId="0" applyNumberFormat="1" applyFont="1" applyFill="1" applyBorder="1" applyAlignment="1">
      <alignment vertical="top" wrapText="1"/>
    </xf>
    <xf numFmtId="3" fontId="4" fillId="5" borderId="5" xfId="0" applyNumberFormat="1" applyFont="1" applyFill="1" applyBorder="1" applyAlignment="1">
      <alignment vertical="top" wrapText="1"/>
    </xf>
    <xf numFmtId="3" fontId="4" fillId="5" borderId="6" xfId="0" applyNumberFormat="1" applyFont="1" applyFill="1" applyBorder="1" applyAlignment="1">
      <alignment vertical="top" wrapText="1"/>
    </xf>
    <xf numFmtId="49" fontId="0" fillId="6" borderId="7" xfId="0" applyNumberFormat="1" applyFont="1" applyFill="1" applyBorder="1" applyAlignment="1">
      <alignment vertical="top" wrapText="1"/>
    </xf>
    <xf numFmtId="49" fontId="0" fillId="6" borderId="8" xfId="0" applyNumberFormat="1" applyFont="1" applyFill="1" applyBorder="1" applyAlignment="1">
      <alignment vertical="top" wrapText="1"/>
    </xf>
    <xf numFmtId="49" fontId="4" fillId="6" borderId="9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2" borderId="11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3" fontId="0" fillId="2" borderId="6" xfId="0" applyNumberFormat="1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165" fontId="0" fillId="2" borderId="10" xfId="0" applyNumberFormat="1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5" borderId="12" xfId="0" applyNumberFormat="1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4" borderId="13" xfId="0" applyNumberFormat="1" applyFont="1" applyFill="1" applyBorder="1" applyAlignment="1">
      <alignment vertical="center" wrapText="1"/>
    </xf>
    <xf numFmtId="165" fontId="3" fillId="0" borderId="13" xfId="0" applyNumberFormat="1" applyFont="1" applyBorder="1" applyAlignment="1">
      <alignment vertical="center" wrapText="1"/>
    </xf>
    <xf numFmtId="49" fontId="2" fillId="3" borderId="12" xfId="0" applyNumberFormat="1" applyFont="1" applyFill="1" applyBorder="1" applyAlignment="1">
      <alignment vertical="center" wrapText="1"/>
    </xf>
    <xf numFmtId="164" fontId="2" fillId="4" borderId="13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vertical="top" wrapText="1"/>
    </xf>
    <xf numFmtId="165" fontId="0" fillId="4" borderId="13" xfId="0" applyNumberFormat="1" applyFont="1" applyFill="1" applyBorder="1" applyAlignment="1">
      <alignment vertical="top" wrapText="1"/>
    </xf>
    <xf numFmtId="3" fontId="0" fillId="4" borderId="3" xfId="0" applyNumberFormat="1" applyFont="1" applyFill="1" applyBorder="1" applyAlignment="1">
      <alignment vertical="top" wrapText="1"/>
    </xf>
    <xf numFmtId="49" fontId="0" fillId="3" borderId="12" xfId="0" applyNumberFormat="1" applyFont="1" applyFill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4" borderId="13" xfId="0" applyNumberFormat="1" applyFont="1" applyFill="1" applyBorder="1" applyAlignment="1">
      <alignment vertical="top" wrapText="1"/>
    </xf>
    <xf numFmtId="164" fontId="0" fillId="4" borderId="3" xfId="0" applyNumberFormat="1" applyFont="1" applyFill="1" applyBorder="1" applyAlignment="1">
      <alignment vertical="top" wrapText="1"/>
    </xf>
    <xf numFmtId="166" fontId="0" fillId="4" borderId="13" xfId="0" applyNumberFormat="1" applyFont="1" applyFill="1" applyBorder="1" applyAlignment="1">
      <alignment vertical="top" wrapText="1"/>
    </xf>
    <xf numFmtId="166" fontId="0" fillId="4" borderId="3" xfId="0" applyNumberFormat="1" applyFont="1" applyFill="1" applyBorder="1" applyAlignment="1">
      <alignment vertical="top" wrapText="1"/>
    </xf>
    <xf numFmtId="165" fontId="0" fillId="0" borderId="1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vertical="top" wrapText="1"/>
    </xf>
    <xf numFmtId="164" fontId="4" fillId="4" borderId="13" xfId="0" applyNumberFormat="1" applyFont="1" applyFill="1" applyBorder="1" applyAlignment="1">
      <alignment vertical="top" wrapText="1"/>
    </xf>
    <xf numFmtId="3" fontId="2" fillId="5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165" fontId="3" fillId="4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49" fontId="0" fillId="3" borderId="14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center" wrapText="1"/>
    </xf>
    <xf numFmtId="165" fontId="0" fillId="4" borderId="3" xfId="0" applyNumberFormat="1" applyFont="1" applyFill="1" applyBorder="1" applyAlignment="1">
      <alignment vertical="top" wrapText="1"/>
    </xf>
    <xf numFmtId="49" fontId="0" fillId="3" borderId="15" xfId="0" applyNumberFormat="1" applyFont="1" applyFill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164" fontId="4" fillId="4" borderId="2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D5D5D5"/>
      <rgbColor rgb="FFBFBFBF"/>
      <rgbColor rgb="FF7F7F7F"/>
      <rgbColor rgb="FFE2E4E3"/>
      <rgbColor rgb="FFEEEEEE"/>
      <rgbColor rgb="FFBEC0BF"/>
      <rgbColor rgb="FFDBDBDB"/>
      <rgbColor rgb="FFA5A5A5"/>
      <rgbColor rgb="FF3F3F3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2"/>
  <sheetViews>
    <sheetView showGridLines="0" tabSelected="1" workbookViewId="0">
      <pane xSplit="1" topLeftCell="B1" activePane="topRight" state="frozen"/>
      <selection pane="topRight" activeCell="A2" sqref="A2"/>
    </sheetView>
  </sheetViews>
  <sheetFormatPr baseColWidth="10" defaultColWidth="16.33203125" defaultRowHeight="20" customHeight="1" x14ac:dyDescent="0.15"/>
  <cols>
    <col min="1" max="1" width="67.33203125" style="1" customWidth="1"/>
    <col min="2" max="2" width="15.5" style="1" customWidth="1"/>
    <col min="3" max="3" width="12.83203125" style="1" customWidth="1"/>
    <col min="4" max="4" width="10.6640625" style="1" customWidth="1"/>
    <col min="5" max="5" width="11.5" style="1" customWidth="1"/>
    <col min="6" max="6" width="11.1640625" style="1" customWidth="1"/>
    <col min="7" max="256" width="16.33203125" style="1" customWidth="1"/>
  </cols>
  <sheetData>
    <row r="1" spans="1:6" ht="19.75" customHeight="1" x14ac:dyDescent="0.15">
      <c r="A1" s="114" t="s">
        <v>0</v>
      </c>
      <c r="B1" s="114"/>
      <c r="C1" s="114"/>
      <c r="D1" s="114"/>
      <c r="E1" s="114"/>
      <c r="F1" s="114"/>
    </row>
    <row r="2" spans="1:6" ht="19" customHeight="1" x14ac:dyDescent="0.15">
      <c r="A2" s="2" t="s">
        <v>1</v>
      </c>
      <c r="B2" s="3"/>
      <c r="C2" s="4"/>
      <c r="D2" s="4"/>
      <c r="E2" s="5"/>
      <c r="F2" s="4"/>
    </row>
    <row r="3" spans="1:6" ht="19" customHeight="1" x14ac:dyDescent="0.15">
      <c r="A3" s="6" t="s">
        <v>2</v>
      </c>
      <c r="B3" s="7">
        <v>1</v>
      </c>
      <c r="C3" s="8">
        <v>2</v>
      </c>
      <c r="D3" s="8"/>
      <c r="E3" s="8"/>
      <c r="F3" s="8"/>
    </row>
    <row r="4" spans="1:6" ht="19" customHeight="1" x14ac:dyDescent="0.15">
      <c r="A4" s="6" t="s">
        <v>3</v>
      </c>
      <c r="B4" s="9">
        <v>809</v>
      </c>
      <c r="C4" s="10">
        <v>1727</v>
      </c>
      <c r="D4" s="11"/>
      <c r="E4" s="11"/>
      <c r="F4" s="11"/>
    </row>
    <row r="5" spans="1:6" ht="19" customHeight="1" x14ac:dyDescent="0.15">
      <c r="A5" s="6" t="s">
        <v>4</v>
      </c>
      <c r="B5" s="12"/>
      <c r="C5" s="13"/>
      <c r="D5" s="14"/>
      <c r="E5" s="14"/>
      <c r="F5" s="14"/>
    </row>
    <row r="6" spans="1:6" ht="19" customHeight="1" x14ac:dyDescent="0.15">
      <c r="A6" s="15" t="s">
        <v>5</v>
      </c>
      <c r="B6" s="9">
        <v>700</v>
      </c>
      <c r="C6" s="10">
        <v>1400</v>
      </c>
      <c r="D6" s="11"/>
      <c r="E6" s="11"/>
      <c r="F6" s="11"/>
    </row>
    <row r="7" spans="1:6" ht="19" customHeight="1" x14ac:dyDescent="0.15">
      <c r="A7" s="15" t="s">
        <v>6</v>
      </c>
      <c r="B7" s="12">
        <v>2600</v>
      </c>
      <c r="C7" s="13">
        <v>5000</v>
      </c>
      <c r="D7" s="14"/>
      <c r="E7" s="14"/>
      <c r="F7" s="14"/>
    </row>
    <row r="8" spans="1:6" ht="19" customHeight="1" x14ac:dyDescent="0.15">
      <c r="A8" s="15" t="s">
        <v>7</v>
      </c>
      <c r="B8" s="9">
        <v>4000</v>
      </c>
      <c r="C8" s="10">
        <v>7000</v>
      </c>
      <c r="D8" s="11"/>
      <c r="E8" s="11"/>
      <c r="F8" s="11"/>
    </row>
    <row r="9" spans="1:6" ht="19" customHeight="1" x14ac:dyDescent="0.15">
      <c r="A9" s="15" t="s">
        <v>8</v>
      </c>
      <c r="B9" s="12">
        <f>(3*B4)+B6+B7+B8</f>
        <v>9727</v>
      </c>
      <c r="C9" s="13">
        <f>(3*C4)+C6+C7+C8</f>
        <v>18581</v>
      </c>
      <c r="D9" s="14"/>
      <c r="E9" s="14"/>
      <c r="F9" s="14"/>
    </row>
    <row r="10" spans="1:6" ht="19" customHeight="1" x14ac:dyDescent="0.15">
      <c r="A10" s="15" t="s">
        <v>9</v>
      </c>
      <c r="B10" s="16">
        <v>0.17199999999999999</v>
      </c>
      <c r="C10" s="17">
        <v>0.82799999999999996</v>
      </c>
      <c r="D10" s="11"/>
      <c r="E10" s="11"/>
      <c r="F10" s="11"/>
    </row>
    <row r="11" spans="1:6" ht="19" customHeight="1" x14ac:dyDescent="0.15">
      <c r="A11" s="15" t="s">
        <v>10</v>
      </c>
      <c r="B11" s="18">
        <f>(B9*B10)+(C9*C10)</f>
        <v>17058.112000000001</v>
      </c>
      <c r="C11" s="8"/>
      <c r="D11" s="14"/>
      <c r="E11" s="14"/>
      <c r="F11" s="14"/>
    </row>
    <row r="12" spans="1:6" ht="19" customHeight="1" x14ac:dyDescent="0.15">
      <c r="A12" s="19"/>
      <c r="B12" s="9"/>
      <c r="C12" s="20"/>
      <c r="D12" s="11"/>
      <c r="E12" s="11"/>
      <c r="F12" s="11"/>
    </row>
    <row r="13" spans="1:6" ht="30" customHeight="1" x14ac:dyDescent="0.15">
      <c r="A13" s="2" t="s">
        <v>11</v>
      </c>
      <c r="B13" s="21"/>
      <c r="C13" s="4"/>
      <c r="D13" s="5"/>
      <c r="E13" s="5"/>
      <c r="F13" s="5"/>
    </row>
    <row r="14" spans="1:6" ht="19" customHeight="1" x14ac:dyDescent="0.15">
      <c r="A14" s="15" t="s">
        <v>12</v>
      </c>
      <c r="B14" s="9">
        <f>B4*8</f>
        <v>6472</v>
      </c>
      <c r="C14" s="10">
        <f>C4*8</f>
        <v>13816</v>
      </c>
      <c r="D14" s="11"/>
      <c r="E14" s="11"/>
      <c r="F14" s="11"/>
    </row>
    <row r="15" spans="1:6" ht="19" customHeight="1" x14ac:dyDescent="0.15">
      <c r="A15" s="15" t="s">
        <v>13</v>
      </c>
      <c r="B15" s="12">
        <f>B4*3</f>
        <v>2427</v>
      </c>
      <c r="C15" s="13">
        <f>C4*3</f>
        <v>5181</v>
      </c>
      <c r="D15" s="14"/>
      <c r="E15" s="14"/>
      <c r="F15" s="14"/>
    </row>
    <row r="16" spans="1:6" ht="19" customHeight="1" x14ac:dyDescent="0.15">
      <c r="A16" s="15" t="s">
        <v>14</v>
      </c>
      <c r="B16" s="9">
        <v>700</v>
      </c>
      <c r="C16" s="10">
        <v>1400</v>
      </c>
      <c r="D16" s="11"/>
      <c r="E16" s="11"/>
      <c r="F16" s="11"/>
    </row>
    <row r="17" spans="1:6" ht="19" customHeight="1" x14ac:dyDescent="0.15">
      <c r="A17" s="15" t="s">
        <v>15</v>
      </c>
      <c r="B17" s="12">
        <v>2600</v>
      </c>
      <c r="C17" s="13">
        <v>5000</v>
      </c>
      <c r="D17" s="14"/>
      <c r="E17" s="14"/>
      <c r="F17" s="14"/>
    </row>
    <row r="18" spans="1:6" ht="19" customHeight="1" x14ac:dyDescent="0.15">
      <c r="A18" s="15" t="s">
        <v>16</v>
      </c>
      <c r="B18" s="9">
        <v>4000</v>
      </c>
      <c r="C18" s="10">
        <v>7000</v>
      </c>
      <c r="D18" s="11"/>
      <c r="E18" s="11"/>
      <c r="F18" s="11"/>
    </row>
    <row r="19" spans="1:6" ht="19" customHeight="1" x14ac:dyDescent="0.15">
      <c r="A19" s="15" t="s">
        <v>17</v>
      </c>
      <c r="B19" s="12">
        <f>(B14*0.551)+(B15*0.449)+(B16*0.449)+(B17*0.388)+(B18*0.327)</f>
        <v>7286.8950000000004</v>
      </c>
      <c r="C19" s="22">
        <f>(C14*0.551)+(C15*0.449)+(C16*0.449)+(C17*0.388)+(C18*0.327)</f>
        <v>14796.485000000002</v>
      </c>
      <c r="D19" s="14"/>
      <c r="E19" s="14"/>
      <c r="F19" s="14"/>
    </row>
    <row r="20" spans="1:6" ht="19" customHeight="1" x14ac:dyDescent="0.15">
      <c r="A20" s="15" t="s">
        <v>9</v>
      </c>
      <c r="B20" s="16">
        <v>0.17199999999999999</v>
      </c>
      <c r="C20" s="17">
        <v>0.82799999999999996</v>
      </c>
      <c r="D20" s="11"/>
      <c r="E20" s="11"/>
      <c r="F20" s="11"/>
    </row>
    <row r="21" spans="1:6" ht="19" customHeight="1" x14ac:dyDescent="0.15">
      <c r="A21" s="15" t="s">
        <v>10</v>
      </c>
      <c r="B21" s="18">
        <f>(B19*B20)+(C19*C20)</f>
        <v>13504.835520000001</v>
      </c>
      <c r="C21" s="8"/>
      <c r="D21" s="14"/>
      <c r="E21" s="14"/>
      <c r="F21" s="14"/>
    </row>
    <row r="22" spans="1:6" ht="19" customHeight="1" x14ac:dyDescent="0.15">
      <c r="A22" s="23"/>
      <c r="B22" s="24"/>
      <c r="C22" s="20"/>
      <c r="D22" s="20"/>
      <c r="E22" s="20"/>
      <c r="F22" s="20"/>
    </row>
    <row r="23" spans="1:6" ht="19" customHeight="1" x14ac:dyDescent="0.15">
      <c r="A23" s="2" t="s">
        <v>18</v>
      </c>
      <c r="B23" s="25"/>
      <c r="C23" s="26"/>
      <c r="D23" s="26"/>
      <c r="E23" s="26"/>
      <c r="F23" s="26"/>
    </row>
    <row r="24" spans="1:6" ht="19" customHeight="1" x14ac:dyDescent="0.15">
      <c r="A24" s="15" t="s">
        <v>2</v>
      </c>
      <c r="B24" s="24">
        <v>1</v>
      </c>
      <c r="C24" s="20">
        <v>2</v>
      </c>
      <c r="D24" s="20">
        <v>3</v>
      </c>
      <c r="E24" s="20">
        <v>4</v>
      </c>
      <c r="F24" s="20">
        <v>5</v>
      </c>
    </row>
    <row r="25" spans="1:6" ht="19" customHeight="1" x14ac:dyDescent="0.15">
      <c r="A25" s="6" t="s">
        <v>3</v>
      </c>
      <c r="B25" s="12">
        <v>662</v>
      </c>
      <c r="C25" s="13">
        <v>662</v>
      </c>
      <c r="D25" s="13">
        <v>662</v>
      </c>
      <c r="E25" s="13">
        <v>1389</v>
      </c>
      <c r="F25" s="13">
        <v>1389</v>
      </c>
    </row>
    <row r="26" spans="1:6" ht="19" customHeight="1" x14ac:dyDescent="0.15">
      <c r="A26" s="6" t="s">
        <v>4</v>
      </c>
      <c r="B26" s="24"/>
      <c r="C26" s="20"/>
      <c r="D26" s="20"/>
      <c r="E26" s="20"/>
      <c r="F26" s="20"/>
    </row>
    <row r="27" spans="1:6" ht="19" customHeight="1" x14ac:dyDescent="0.15">
      <c r="A27" s="15" t="s">
        <v>19</v>
      </c>
      <c r="B27" s="12">
        <v>704</v>
      </c>
      <c r="C27" s="13">
        <v>976</v>
      </c>
      <c r="D27" s="13">
        <v>1191</v>
      </c>
      <c r="E27" s="13">
        <v>1414</v>
      </c>
      <c r="F27" s="13">
        <v>1897</v>
      </c>
    </row>
    <row r="28" spans="1:6" ht="19" customHeight="1" x14ac:dyDescent="0.15">
      <c r="A28" s="15" t="s">
        <v>6</v>
      </c>
      <c r="B28" s="9">
        <v>1246</v>
      </c>
      <c r="C28" s="10">
        <v>2395</v>
      </c>
      <c r="D28" s="10">
        <v>3567</v>
      </c>
      <c r="E28" s="10">
        <v>5032</v>
      </c>
      <c r="F28" s="10">
        <v>9060</v>
      </c>
    </row>
    <row r="29" spans="1:6" ht="19" customHeight="1" x14ac:dyDescent="0.15">
      <c r="A29" s="15" t="s">
        <v>7</v>
      </c>
      <c r="B29" s="12">
        <v>1929</v>
      </c>
      <c r="C29" s="13">
        <v>3705</v>
      </c>
      <c r="D29" s="13">
        <v>5518</v>
      </c>
      <c r="E29" s="13">
        <v>7786</v>
      </c>
      <c r="F29" s="13">
        <v>14017</v>
      </c>
    </row>
    <row r="30" spans="1:6" ht="19" customHeight="1" x14ac:dyDescent="0.15">
      <c r="A30" s="15" t="s">
        <v>20</v>
      </c>
      <c r="B30" s="9">
        <v>429</v>
      </c>
      <c r="C30" s="10">
        <v>823</v>
      </c>
      <c r="D30" s="10">
        <v>1226</v>
      </c>
      <c r="E30" s="10">
        <v>1730</v>
      </c>
      <c r="F30" s="10">
        <v>3115</v>
      </c>
    </row>
    <row r="31" spans="1:6" ht="19" customHeight="1" x14ac:dyDescent="0.15">
      <c r="A31" s="15" t="s">
        <v>21</v>
      </c>
      <c r="B31" s="12">
        <f>(3*B25)+B27+B28+B29+B30</f>
        <v>6294</v>
      </c>
      <c r="C31" s="13">
        <f>(3*C25)+C27+C28+C29+C30</f>
        <v>9885</v>
      </c>
      <c r="D31" s="13">
        <f>(3*D25)+D27+D28+D29+D30</f>
        <v>13488</v>
      </c>
      <c r="E31" s="13">
        <f>(3*E25)+E27+E28+E29+E30</f>
        <v>20129</v>
      </c>
      <c r="F31" s="13">
        <f>(3*F25)+F27+F28+F29+F30</f>
        <v>32256</v>
      </c>
    </row>
    <row r="32" spans="1:6" ht="19" customHeight="1" x14ac:dyDescent="0.15">
      <c r="A32" s="15" t="s">
        <v>22</v>
      </c>
      <c r="B32" s="24">
        <v>836</v>
      </c>
      <c r="C32" s="20">
        <v>1277</v>
      </c>
      <c r="D32" s="20">
        <v>651</v>
      </c>
      <c r="E32" s="20">
        <v>321</v>
      </c>
      <c r="F32" s="20">
        <v>170</v>
      </c>
    </row>
    <row r="33" spans="1:6" ht="19" customHeight="1" x14ac:dyDescent="0.15">
      <c r="A33" s="15" t="s">
        <v>23</v>
      </c>
      <c r="B33" s="27">
        <f>B32/SUM($B$32:$F$32)</f>
        <v>0.2568356374807988</v>
      </c>
      <c r="C33" s="28">
        <f>C32/SUM($B$32:$F$32)</f>
        <v>0.39231950844854069</v>
      </c>
      <c r="D33" s="28">
        <f>D32/SUM($B$32:$F$32)</f>
        <v>0.2</v>
      </c>
      <c r="E33" s="28">
        <f>E32/SUM($B$32:$F$32)</f>
        <v>9.8617511520737333E-2</v>
      </c>
      <c r="F33" s="28">
        <f>F32/SUM($B$32:$F$32)</f>
        <v>5.2227342549923193E-2</v>
      </c>
    </row>
    <row r="34" spans="1:6" ht="19" customHeight="1" x14ac:dyDescent="0.15">
      <c r="A34" s="6" t="s">
        <v>24</v>
      </c>
      <c r="B34" s="29">
        <f>(B31*B33)+(C31*C33)+(D31*D33)+(E31*E33)+(F31*F33)</f>
        <v>11861.918894009217</v>
      </c>
      <c r="C34" s="20"/>
      <c r="D34" s="20"/>
      <c r="E34" s="20"/>
      <c r="F34" s="20"/>
    </row>
    <row r="35" spans="1:6" ht="19" customHeight="1" x14ac:dyDescent="0.15">
      <c r="A35" s="23"/>
      <c r="B35" s="7"/>
      <c r="C35" s="8"/>
      <c r="D35" s="14"/>
      <c r="E35" s="8"/>
      <c r="F35" s="8"/>
    </row>
    <row r="36" spans="1:6" ht="30" customHeight="1" x14ac:dyDescent="0.15">
      <c r="A36" s="2" t="s">
        <v>25</v>
      </c>
      <c r="B36" s="30"/>
      <c r="C36" s="4"/>
      <c r="D36" s="5"/>
      <c r="E36" s="4"/>
      <c r="F36" s="4"/>
    </row>
    <row r="37" spans="1:6" ht="19" customHeight="1" x14ac:dyDescent="0.15">
      <c r="A37" s="15" t="s">
        <v>12</v>
      </c>
      <c r="B37" s="12">
        <f>8*B25</f>
        <v>5296</v>
      </c>
      <c r="C37" s="13">
        <f>8*C25</f>
        <v>5296</v>
      </c>
      <c r="D37" s="13">
        <f>8*D25</f>
        <v>5296</v>
      </c>
      <c r="E37" s="13">
        <f>8*E25</f>
        <v>11112</v>
      </c>
      <c r="F37" s="13">
        <f>8*F25</f>
        <v>11112</v>
      </c>
    </row>
    <row r="38" spans="1:6" ht="19" customHeight="1" x14ac:dyDescent="0.15">
      <c r="A38" s="15" t="s">
        <v>26</v>
      </c>
      <c r="B38" s="9">
        <f>3*B25</f>
        <v>1986</v>
      </c>
      <c r="C38" s="10">
        <f>3*C25</f>
        <v>1986</v>
      </c>
      <c r="D38" s="10">
        <f>3*D25</f>
        <v>1986</v>
      </c>
      <c r="E38" s="10">
        <f>3*E25</f>
        <v>4167</v>
      </c>
      <c r="F38" s="10">
        <f>3*F25</f>
        <v>4167</v>
      </c>
    </row>
    <row r="39" spans="1:6" ht="19" customHeight="1" x14ac:dyDescent="0.15">
      <c r="A39" s="15" t="s">
        <v>27</v>
      </c>
      <c r="B39" s="12">
        <v>704</v>
      </c>
      <c r="C39" s="13">
        <v>976</v>
      </c>
      <c r="D39" s="13">
        <v>1191</v>
      </c>
      <c r="E39" s="13">
        <v>1414</v>
      </c>
      <c r="F39" s="13">
        <v>1897</v>
      </c>
    </row>
    <row r="40" spans="1:6" ht="19" customHeight="1" x14ac:dyDescent="0.15">
      <c r="A40" s="15" t="s">
        <v>15</v>
      </c>
      <c r="B40" s="9">
        <v>1246</v>
      </c>
      <c r="C40" s="10">
        <v>2395</v>
      </c>
      <c r="D40" s="10">
        <v>3567</v>
      </c>
      <c r="E40" s="10">
        <v>5032</v>
      </c>
      <c r="F40" s="10">
        <v>9060</v>
      </c>
    </row>
    <row r="41" spans="1:6" ht="19" customHeight="1" x14ac:dyDescent="0.15">
      <c r="A41" s="15" t="s">
        <v>28</v>
      </c>
      <c r="B41" s="12">
        <v>1929</v>
      </c>
      <c r="C41" s="13">
        <v>3705</v>
      </c>
      <c r="D41" s="13">
        <v>5518</v>
      </c>
      <c r="E41" s="13">
        <v>7786</v>
      </c>
      <c r="F41" s="13">
        <v>14017</v>
      </c>
    </row>
    <row r="42" spans="1:6" ht="19" customHeight="1" x14ac:dyDescent="0.15">
      <c r="A42" s="15" t="s">
        <v>29</v>
      </c>
      <c r="B42" s="9">
        <v>429</v>
      </c>
      <c r="C42" s="10">
        <v>823</v>
      </c>
      <c r="D42" s="10">
        <v>1226</v>
      </c>
      <c r="E42" s="10">
        <v>1730</v>
      </c>
      <c r="F42" s="10">
        <v>3115</v>
      </c>
    </row>
    <row r="43" spans="1:6" ht="19" customHeight="1" x14ac:dyDescent="0.15">
      <c r="A43" s="15" t="s">
        <v>17</v>
      </c>
      <c r="B43" s="12">
        <f>(B37*0.551)+(B38*0.449)+(B39*0.449)+(B40*0.388)+(B41*0.327)+(B42*0.214)</f>
        <v>5331.9430000000011</v>
      </c>
      <c r="C43" s="13">
        <f>(C37*0.551)+(C38*0.449)+(C39*0.449)+(C40*0.388)+(C41*0.327)+(C42*0.214)</f>
        <v>6564.9510000000009</v>
      </c>
      <c r="D43" s="13">
        <f>(D37*0.551)+(D38*0.449)+(D39*0.449)+(D40*0.388)+(D41*0.327)+(D42*0.214)</f>
        <v>7795.3150000000005</v>
      </c>
      <c r="E43" s="13">
        <f>(E37*0.551)+(E38*0.449)+(E39*0.449)+(E40*0.388)+(E41*0.327)+(E42*0.214)</f>
        <v>13497.239</v>
      </c>
      <c r="F43" s="13">
        <f>(F37*0.551)+(F38*0.449)+(F39*0.449)+(F40*0.388)+(F41*0.327)+(F42*0.214)</f>
        <v>17610.897000000001</v>
      </c>
    </row>
    <row r="44" spans="1:6" ht="19" customHeight="1" x14ac:dyDescent="0.15">
      <c r="A44" s="15" t="s">
        <v>23</v>
      </c>
      <c r="B44" s="16">
        <v>0.25700000000000001</v>
      </c>
      <c r="C44" s="17">
        <v>0.39200000000000002</v>
      </c>
      <c r="D44" s="17">
        <v>0.2</v>
      </c>
      <c r="E44" s="17">
        <v>9.9000000000000005E-2</v>
      </c>
      <c r="F44" s="17">
        <v>5.1999999999999998E-2</v>
      </c>
    </row>
    <row r="45" spans="1:6" ht="19" customHeight="1" x14ac:dyDescent="0.15">
      <c r="A45" s="6" t="s">
        <v>30</v>
      </c>
      <c r="B45" s="18">
        <f>(B43*B44)+(C43*C44)+(D43*D44)+(E43*E44)+(F43*F44)</f>
        <v>7754.8264480000007</v>
      </c>
      <c r="C45" s="13"/>
      <c r="D45" s="13"/>
      <c r="E45" s="13"/>
      <c r="F45" s="13"/>
    </row>
    <row r="46" spans="1:6" ht="20" customHeight="1" x14ac:dyDescent="0.15">
      <c r="A46" s="31"/>
      <c r="B46" s="32"/>
      <c r="C46" s="33"/>
      <c r="D46" s="33"/>
      <c r="E46" s="33"/>
      <c r="F46" s="33"/>
    </row>
    <row r="47" spans="1:6" ht="20" customHeight="1" x14ac:dyDescent="0.15">
      <c r="A47" s="31"/>
      <c r="B47" s="34"/>
      <c r="C47" s="35"/>
      <c r="D47" s="35"/>
      <c r="E47" s="35"/>
      <c r="F47" s="35"/>
    </row>
    <row r="48" spans="1:6" ht="30" customHeight="1" x14ac:dyDescent="0.15">
      <c r="A48" s="36" t="s">
        <v>31</v>
      </c>
      <c r="B48" s="37">
        <f>B34-B11</f>
        <v>-5196.1931059907838</v>
      </c>
      <c r="C48" s="4"/>
      <c r="D48" s="5"/>
      <c r="E48" s="5"/>
      <c r="F48" s="5"/>
    </row>
    <row r="49" spans="1:6" ht="30" customHeight="1" x14ac:dyDescent="0.15">
      <c r="A49" s="36" t="s">
        <v>31</v>
      </c>
      <c r="B49" s="21">
        <f>B48/B11</f>
        <v>-0.30461712914012895</v>
      </c>
      <c r="C49" s="4"/>
      <c r="D49" s="5"/>
      <c r="E49" s="5"/>
      <c r="F49" s="5"/>
    </row>
    <row r="50" spans="1:6" ht="19" customHeight="1" x14ac:dyDescent="0.15">
      <c r="A50" s="19"/>
      <c r="B50" s="16"/>
      <c r="C50" s="20"/>
      <c r="D50" s="11"/>
      <c r="E50" s="11"/>
      <c r="F50" s="11"/>
    </row>
    <row r="51" spans="1:6" ht="30" customHeight="1" x14ac:dyDescent="0.15">
      <c r="A51" s="36" t="s">
        <v>32</v>
      </c>
      <c r="B51" s="37">
        <f>B45-B21</f>
        <v>-5750.0090719999998</v>
      </c>
      <c r="C51" s="4"/>
      <c r="D51" s="5"/>
      <c r="E51" s="5"/>
      <c r="F51" s="5"/>
    </row>
    <row r="52" spans="1:6" ht="30" customHeight="1" x14ac:dyDescent="0.15">
      <c r="A52" s="36" t="s">
        <v>32</v>
      </c>
      <c r="B52" s="21">
        <f>B51/B21</f>
        <v>-0.42577409132340172</v>
      </c>
      <c r="C52" s="4"/>
      <c r="D52" s="5"/>
      <c r="E52" s="5"/>
      <c r="F52" s="5"/>
    </row>
  </sheetData>
  <mergeCells count="1">
    <mergeCell ref="A1:F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52"/>
  <sheetViews>
    <sheetView showGridLines="0" topLeftCell="A30" workbookViewId="0">
      <pane xSplit="1" topLeftCell="B1" activePane="topRight" state="frozen"/>
      <selection pane="topRight" sqref="A1:F1"/>
    </sheetView>
  </sheetViews>
  <sheetFormatPr baseColWidth="10" defaultColWidth="16.33203125" defaultRowHeight="20" customHeight="1" x14ac:dyDescent="0.15"/>
  <cols>
    <col min="1" max="1" width="68.1640625" style="38" customWidth="1"/>
    <col min="2" max="3" width="10" style="38" customWidth="1"/>
    <col min="4" max="4" width="9.6640625" style="38" customWidth="1"/>
    <col min="5" max="5" width="10.33203125" style="38" customWidth="1"/>
    <col min="6" max="6" width="11.1640625" style="38" customWidth="1"/>
    <col min="7" max="256" width="16.33203125" style="38" customWidth="1"/>
  </cols>
  <sheetData>
    <row r="1" spans="1:6" ht="19.75" customHeight="1" x14ac:dyDescent="0.15">
      <c r="A1" s="114" t="s">
        <v>33</v>
      </c>
      <c r="B1" s="114"/>
      <c r="C1" s="114"/>
      <c r="D1" s="114"/>
      <c r="E1" s="114"/>
      <c r="F1" s="114"/>
    </row>
    <row r="2" spans="1:6" ht="19" customHeight="1" x14ac:dyDescent="0.15">
      <c r="A2" s="39" t="s">
        <v>34</v>
      </c>
      <c r="B2" s="40"/>
      <c r="C2" s="41"/>
      <c r="D2" s="41"/>
      <c r="E2" s="42"/>
      <c r="F2" s="41"/>
    </row>
    <row r="3" spans="1:6" ht="19" customHeight="1" x14ac:dyDescent="0.15">
      <c r="A3" s="15" t="s">
        <v>2</v>
      </c>
      <c r="B3" s="7">
        <v>1</v>
      </c>
      <c r="C3" s="8">
        <v>2</v>
      </c>
      <c r="D3" s="8"/>
      <c r="E3" s="8"/>
      <c r="F3" s="8"/>
    </row>
    <row r="4" spans="1:6" ht="19" customHeight="1" x14ac:dyDescent="0.15">
      <c r="A4" s="15" t="s">
        <v>3</v>
      </c>
      <c r="B4" s="9">
        <v>809</v>
      </c>
      <c r="C4" s="10">
        <v>1727</v>
      </c>
      <c r="D4" s="11"/>
      <c r="E4" s="11"/>
      <c r="F4" s="11"/>
    </row>
    <row r="5" spans="1:6" ht="19" customHeight="1" x14ac:dyDescent="0.15">
      <c r="A5" s="15" t="s">
        <v>4</v>
      </c>
      <c r="B5" s="12"/>
      <c r="C5" s="13"/>
      <c r="D5" s="14"/>
      <c r="E5" s="14"/>
      <c r="F5" s="14"/>
    </row>
    <row r="6" spans="1:6" ht="19" customHeight="1" x14ac:dyDescent="0.15">
      <c r="A6" s="15" t="s">
        <v>5</v>
      </c>
      <c r="B6" s="9">
        <v>700</v>
      </c>
      <c r="C6" s="10">
        <v>1400</v>
      </c>
      <c r="D6" s="11"/>
      <c r="E6" s="11"/>
      <c r="F6" s="11"/>
    </row>
    <row r="7" spans="1:6" ht="19" customHeight="1" x14ac:dyDescent="0.15">
      <c r="A7" s="15" t="s">
        <v>6</v>
      </c>
      <c r="B7" s="12">
        <v>2600</v>
      </c>
      <c r="C7" s="13">
        <v>5000</v>
      </c>
      <c r="D7" s="14"/>
      <c r="E7" s="14"/>
      <c r="F7" s="14"/>
    </row>
    <row r="8" spans="1:6" ht="19" customHeight="1" x14ac:dyDescent="0.15">
      <c r="A8" s="15" t="s">
        <v>7</v>
      </c>
      <c r="B8" s="9">
        <v>4000</v>
      </c>
      <c r="C8" s="10">
        <v>7000</v>
      </c>
      <c r="D8" s="11"/>
      <c r="E8" s="11"/>
      <c r="F8" s="11"/>
    </row>
    <row r="9" spans="1:6" ht="19" customHeight="1" x14ac:dyDescent="0.15">
      <c r="A9" s="15" t="s">
        <v>8</v>
      </c>
      <c r="B9" s="12">
        <f>(3*B4)+B6+B7+B8</f>
        <v>9727</v>
      </c>
      <c r="C9" s="13">
        <f>(3*C4)+C6+C7+C8</f>
        <v>18581</v>
      </c>
      <c r="D9" s="14"/>
      <c r="E9" s="14"/>
      <c r="F9" s="14"/>
    </row>
    <row r="10" spans="1:6" ht="19" customHeight="1" x14ac:dyDescent="0.15">
      <c r="A10" s="15" t="s">
        <v>35</v>
      </c>
      <c r="B10" s="16">
        <v>0.28100000000000003</v>
      </c>
      <c r="C10" s="17">
        <v>0.71900000000000008</v>
      </c>
      <c r="D10" s="11"/>
      <c r="E10" s="11"/>
      <c r="F10" s="11"/>
    </row>
    <row r="11" spans="1:6" ht="19" customHeight="1" x14ac:dyDescent="0.15">
      <c r="A11" s="6" t="s">
        <v>10</v>
      </c>
      <c r="B11" s="18">
        <f>(B9*B10)+(C9*C10)</f>
        <v>16093.026000000002</v>
      </c>
      <c r="C11" s="13"/>
      <c r="D11" s="14"/>
      <c r="E11" s="14"/>
      <c r="F11" s="14"/>
    </row>
    <row r="12" spans="1:6" ht="19" customHeight="1" x14ac:dyDescent="0.15">
      <c r="A12" s="23"/>
      <c r="B12" s="29"/>
      <c r="C12" s="43"/>
      <c r="D12" s="11"/>
      <c r="E12" s="11"/>
      <c r="F12" s="11"/>
    </row>
    <row r="13" spans="1:6" ht="30" customHeight="1" x14ac:dyDescent="0.15">
      <c r="A13" s="6" t="s">
        <v>36</v>
      </c>
      <c r="B13" s="7"/>
      <c r="C13" s="8"/>
      <c r="D13" s="14"/>
      <c r="E13" s="14"/>
      <c r="F13" s="14"/>
    </row>
    <row r="14" spans="1:6" ht="19" customHeight="1" x14ac:dyDescent="0.15">
      <c r="A14" s="15" t="s">
        <v>37</v>
      </c>
      <c r="B14" s="9">
        <f>8*B4</f>
        <v>6472</v>
      </c>
      <c r="C14" s="10">
        <f>8*C4</f>
        <v>13816</v>
      </c>
      <c r="D14" s="11"/>
      <c r="E14" s="11"/>
      <c r="F14" s="11"/>
    </row>
    <row r="15" spans="1:6" ht="19" customHeight="1" x14ac:dyDescent="0.15">
      <c r="A15" s="15" t="s">
        <v>38</v>
      </c>
      <c r="B15" s="12">
        <f>B4*3</f>
        <v>2427</v>
      </c>
      <c r="C15" s="13">
        <f>C4*3</f>
        <v>5181</v>
      </c>
      <c r="D15" s="14"/>
      <c r="E15" s="14"/>
      <c r="F15" s="14"/>
    </row>
    <row r="16" spans="1:6" ht="19" customHeight="1" x14ac:dyDescent="0.15">
      <c r="A16" s="15" t="s">
        <v>39</v>
      </c>
      <c r="B16" s="9">
        <v>700</v>
      </c>
      <c r="C16" s="10">
        <v>1400</v>
      </c>
      <c r="D16" s="11"/>
      <c r="E16" s="11"/>
      <c r="F16" s="11"/>
    </row>
    <row r="17" spans="1:6" ht="19" customHeight="1" x14ac:dyDescent="0.15">
      <c r="A17" s="15" t="s">
        <v>40</v>
      </c>
      <c r="B17" s="12">
        <v>2600</v>
      </c>
      <c r="C17" s="13">
        <v>5000</v>
      </c>
      <c r="D17" s="14"/>
      <c r="E17" s="14"/>
      <c r="F17" s="14"/>
    </row>
    <row r="18" spans="1:6" ht="19" customHeight="1" x14ac:dyDescent="0.15">
      <c r="A18" s="15" t="s">
        <v>41</v>
      </c>
      <c r="B18" s="9">
        <v>4000</v>
      </c>
      <c r="C18" s="10">
        <v>7000</v>
      </c>
      <c r="D18" s="11"/>
      <c r="E18" s="11"/>
      <c r="F18" s="11"/>
    </row>
    <row r="19" spans="1:6" ht="19" customHeight="1" x14ac:dyDescent="0.15">
      <c r="A19" s="15" t="s">
        <v>17</v>
      </c>
      <c r="B19" s="12">
        <f>(B14*0.561)+(B15*0.439)+(B16*0.439)+(B17*0.383)+(B18*0.317)</f>
        <v>7267.3450000000012</v>
      </c>
      <c r="C19" s="13">
        <f>(C14*0.561)+(C15*0.439)+(C16*0.439)+(C17*0.383)+(C18*0.317)</f>
        <v>14773.835000000001</v>
      </c>
      <c r="D19" s="14"/>
      <c r="E19" s="14"/>
      <c r="F19" s="14"/>
    </row>
    <row r="20" spans="1:6" ht="19" customHeight="1" x14ac:dyDescent="0.15">
      <c r="A20" s="15" t="s">
        <v>42</v>
      </c>
      <c r="B20" s="16">
        <v>0.28100000000000003</v>
      </c>
      <c r="C20" s="17">
        <v>0.71900000000000008</v>
      </c>
      <c r="D20" s="11"/>
      <c r="E20" s="11"/>
      <c r="F20" s="11"/>
    </row>
    <row r="21" spans="1:6" ht="19" customHeight="1" x14ac:dyDescent="0.15">
      <c r="A21" s="6" t="s">
        <v>10</v>
      </c>
      <c r="B21" s="18">
        <f>(B19*B20)+(C19*C20)</f>
        <v>12664.511310000004</v>
      </c>
      <c r="C21" s="8"/>
      <c r="D21" s="14"/>
      <c r="E21" s="14"/>
      <c r="F21" s="14"/>
    </row>
    <row r="22" spans="1:6" ht="19" customHeight="1" x14ac:dyDescent="0.15">
      <c r="A22" s="19"/>
      <c r="B22" s="16"/>
      <c r="C22" s="20"/>
      <c r="D22" s="11"/>
      <c r="E22" s="11"/>
      <c r="F22" s="11"/>
    </row>
    <row r="23" spans="1:6" ht="19" customHeight="1" x14ac:dyDescent="0.15">
      <c r="A23" s="39" t="s">
        <v>43</v>
      </c>
      <c r="B23" s="44"/>
      <c r="C23" s="45"/>
      <c r="D23" s="45"/>
      <c r="E23" s="45"/>
      <c r="F23" s="45"/>
    </row>
    <row r="24" spans="1:6" ht="19" customHeight="1" x14ac:dyDescent="0.15">
      <c r="A24" s="6" t="s">
        <v>2</v>
      </c>
      <c r="B24" s="24">
        <v>1</v>
      </c>
      <c r="C24" s="20">
        <v>2</v>
      </c>
      <c r="D24" s="20">
        <v>3</v>
      </c>
      <c r="E24" s="20">
        <v>4</v>
      </c>
      <c r="F24" s="20">
        <v>5</v>
      </c>
    </row>
    <row r="25" spans="1:6" ht="19" customHeight="1" x14ac:dyDescent="0.15">
      <c r="A25" s="6" t="s">
        <v>3</v>
      </c>
      <c r="B25" s="12">
        <v>662</v>
      </c>
      <c r="C25" s="13">
        <v>662</v>
      </c>
      <c r="D25" s="13">
        <v>662</v>
      </c>
      <c r="E25" s="13">
        <v>1389</v>
      </c>
      <c r="F25" s="13">
        <v>1389</v>
      </c>
    </row>
    <row r="26" spans="1:6" ht="19" customHeight="1" x14ac:dyDescent="0.15">
      <c r="A26" s="6" t="s">
        <v>4</v>
      </c>
      <c r="B26" s="24"/>
      <c r="C26" s="20"/>
      <c r="D26" s="20"/>
      <c r="E26" s="20"/>
      <c r="F26" s="20"/>
    </row>
    <row r="27" spans="1:6" ht="19" customHeight="1" x14ac:dyDescent="0.15">
      <c r="A27" s="15" t="s">
        <v>19</v>
      </c>
      <c r="B27" s="12">
        <v>704</v>
      </c>
      <c r="C27" s="13">
        <v>976</v>
      </c>
      <c r="D27" s="13">
        <v>1191</v>
      </c>
      <c r="E27" s="13">
        <v>1414</v>
      </c>
      <c r="F27" s="13">
        <v>1897</v>
      </c>
    </row>
    <row r="28" spans="1:6" ht="19" customHeight="1" x14ac:dyDescent="0.15">
      <c r="A28" s="15" t="s">
        <v>6</v>
      </c>
      <c r="B28" s="9">
        <v>1246</v>
      </c>
      <c r="C28" s="10">
        <v>2395</v>
      </c>
      <c r="D28" s="10">
        <v>3567</v>
      </c>
      <c r="E28" s="10">
        <v>5032</v>
      </c>
      <c r="F28" s="10">
        <v>9060</v>
      </c>
    </row>
    <row r="29" spans="1:6" ht="19" customHeight="1" x14ac:dyDescent="0.15">
      <c r="A29" s="15" t="s">
        <v>7</v>
      </c>
      <c r="B29" s="12">
        <v>1929</v>
      </c>
      <c r="C29" s="13">
        <v>3705</v>
      </c>
      <c r="D29" s="13">
        <v>5518</v>
      </c>
      <c r="E29" s="13">
        <v>7786</v>
      </c>
      <c r="F29" s="13">
        <v>14017</v>
      </c>
    </row>
    <row r="30" spans="1:6" ht="19" customHeight="1" x14ac:dyDescent="0.15">
      <c r="A30" s="15" t="s">
        <v>20</v>
      </c>
      <c r="B30" s="9">
        <v>429</v>
      </c>
      <c r="C30" s="10">
        <v>823</v>
      </c>
      <c r="D30" s="10">
        <v>1226</v>
      </c>
      <c r="E30" s="10">
        <v>1730</v>
      </c>
      <c r="F30" s="10">
        <v>3115</v>
      </c>
    </row>
    <row r="31" spans="1:6" ht="19" customHeight="1" x14ac:dyDescent="0.15">
      <c r="A31" s="15" t="s">
        <v>44</v>
      </c>
      <c r="B31" s="12">
        <f>(3*B25)+B27+B28+B29+B30</f>
        <v>6294</v>
      </c>
      <c r="C31" s="13">
        <f>(3*C25)+C27+C28+C29+C30</f>
        <v>9885</v>
      </c>
      <c r="D31" s="13">
        <f>(3*D25)+D27+D28+D29+D30</f>
        <v>13488</v>
      </c>
      <c r="E31" s="13">
        <f>(3*E25)+E27+E28+E29+E30</f>
        <v>20129</v>
      </c>
      <c r="F31" s="13">
        <f>(3*F25)+F27+F28+F29+F30</f>
        <v>32256</v>
      </c>
    </row>
    <row r="32" spans="1:6" ht="19" customHeight="1" x14ac:dyDescent="0.15">
      <c r="A32" s="15" t="s">
        <v>45</v>
      </c>
      <c r="B32" s="24">
        <v>1276</v>
      </c>
      <c r="C32" s="20">
        <v>2449</v>
      </c>
      <c r="D32" s="20">
        <v>1709</v>
      </c>
      <c r="E32" s="20">
        <v>894</v>
      </c>
      <c r="F32" s="20">
        <v>368</v>
      </c>
    </row>
    <row r="33" spans="1:6" ht="19" customHeight="1" x14ac:dyDescent="0.15">
      <c r="A33" s="15" t="s">
        <v>46</v>
      </c>
      <c r="B33" s="27">
        <f>B32/($B$32+$C$32+$D$32+$E$32+$F$32)</f>
        <v>0.1905615292712067</v>
      </c>
      <c r="C33" s="28">
        <f>C32/($B$32+$C$32+$D$32+$E$32+$F$32)</f>
        <v>0.36574074074074076</v>
      </c>
      <c r="D33" s="28">
        <f>D32/($B$32+$C$32+$D$32+$E$32+$F$32)</f>
        <v>0.25522700119474312</v>
      </c>
      <c r="E33" s="28">
        <f>E32/($B$32+$C$32+$D$32+$E$32+$F$32)</f>
        <v>0.13351254480286739</v>
      </c>
      <c r="F33" s="28">
        <f>F32/($B$32+$C$32+$D$32+$E$32+$F$32)</f>
        <v>5.4958183990442055E-2</v>
      </c>
    </row>
    <row r="34" spans="1:6" ht="19" customHeight="1" x14ac:dyDescent="0.15">
      <c r="A34" s="6" t="s">
        <v>24</v>
      </c>
      <c r="B34" s="29">
        <f>(B31*B33)+(C31*C33)+(D31*D33)+(E31*E33)+(F31*F33)</f>
        <v>12717.448476702508</v>
      </c>
      <c r="C34" s="43"/>
      <c r="D34" s="43"/>
      <c r="E34" s="43"/>
      <c r="F34" s="43"/>
    </row>
    <row r="35" spans="1:6" ht="19" customHeight="1" x14ac:dyDescent="0.15">
      <c r="A35" s="19"/>
      <c r="B35" s="7"/>
      <c r="C35" s="8"/>
      <c r="D35" s="8"/>
      <c r="E35" s="8"/>
      <c r="F35" s="8"/>
    </row>
    <row r="36" spans="1:6" ht="30" customHeight="1" x14ac:dyDescent="0.15">
      <c r="A36" s="6" t="s">
        <v>47</v>
      </c>
      <c r="B36" s="24"/>
      <c r="C36" s="20"/>
      <c r="D36" s="20"/>
      <c r="E36" s="20"/>
      <c r="F36" s="20"/>
    </row>
    <row r="37" spans="1:6" ht="19" customHeight="1" x14ac:dyDescent="0.15">
      <c r="A37" s="15" t="s">
        <v>37</v>
      </c>
      <c r="B37" s="12">
        <f>8*B25</f>
        <v>5296</v>
      </c>
      <c r="C37" s="13">
        <f>8*C25</f>
        <v>5296</v>
      </c>
      <c r="D37" s="13">
        <f>8*D25</f>
        <v>5296</v>
      </c>
      <c r="E37" s="13">
        <f>8*E25</f>
        <v>11112</v>
      </c>
      <c r="F37" s="13">
        <f>8*F25</f>
        <v>11112</v>
      </c>
    </row>
    <row r="38" spans="1:6" ht="19" customHeight="1" x14ac:dyDescent="0.15">
      <c r="A38" s="15" t="s">
        <v>38</v>
      </c>
      <c r="B38" s="9">
        <f>3*B25</f>
        <v>1986</v>
      </c>
      <c r="C38" s="10">
        <f>3*C25</f>
        <v>1986</v>
      </c>
      <c r="D38" s="10">
        <f>3*D25</f>
        <v>1986</v>
      </c>
      <c r="E38" s="10">
        <f>3*E25</f>
        <v>4167</v>
      </c>
      <c r="F38" s="10">
        <f>3*F25</f>
        <v>4167</v>
      </c>
    </row>
    <row r="39" spans="1:6" ht="19" customHeight="1" x14ac:dyDescent="0.15">
      <c r="A39" s="15" t="s">
        <v>39</v>
      </c>
      <c r="B39" s="12">
        <v>704</v>
      </c>
      <c r="C39" s="13">
        <v>976</v>
      </c>
      <c r="D39" s="13">
        <v>1191</v>
      </c>
      <c r="E39" s="13">
        <v>1414</v>
      </c>
      <c r="F39" s="13">
        <v>1897</v>
      </c>
    </row>
    <row r="40" spans="1:6" ht="19" customHeight="1" x14ac:dyDescent="0.15">
      <c r="A40" s="15" t="s">
        <v>40</v>
      </c>
      <c r="B40" s="9">
        <v>1246</v>
      </c>
      <c r="C40" s="10">
        <v>2395</v>
      </c>
      <c r="D40" s="10">
        <v>3567</v>
      </c>
      <c r="E40" s="10">
        <v>5032</v>
      </c>
      <c r="F40" s="10">
        <v>9060</v>
      </c>
    </row>
    <row r="41" spans="1:6" ht="19" customHeight="1" x14ac:dyDescent="0.15">
      <c r="A41" s="15" t="s">
        <v>41</v>
      </c>
      <c r="B41" s="12">
        <v>1929</v>
      </c>
      <c r="C41" s="13">
        <v>3705</v>
      </c>
      <c r="D41" s="13">
        <v>5518</v>
      </c>
      <c r="E41" s="13">
        <v>7786</v>
      </c>
      <c r="F41" s="13">
        <v>14017</v>
      </c>
    </row>
    <row r="42" spans="1:6" ht="19" customHeight="1" x14ac:dyDescent="0.15">
      <c r="A42" s="15" t="s">
        <v>48</v>
      </c>
      <c r="B42" s="9">
        <v>429</v>
      </c>
      <c r="C42" s="10">
        <v>823</v>
      </c>
      <c r="D42" s="10">
        <v>1226</v>
      </c>
      <c r="E42" s="10">
        <v>1730</v>
      </c>
      <c r="F42" s="10">
        <v>3115</v>
      </c>
    </row>
    <row r="43" spans="1:6" ht="19" customHeight="1" x14ac:dyDescent="0.15">
      <c r="A43" s="15" t="s">
        <v>17</v>
      </c>
      <c r="B43" s="12">
        <f>(B37*0.561)+(B38*0.439)+(B39*0.439)+(B40*0.383)+(B41*0.317)+(B42*0.202)</f>
        <v>5327.3350000000009</v>
      </c>
      <c r="C43" s="13">
        <f>(C37*0.561)+(C38*0.439)+(C39*0.439)+(C40*0.383)+(C41*0.317)+(C42*0.202)</f>
        <v>6529.39</v>
      </c>
      <c r="D43" s="13">
        <f>(D37*0.561)+(D38*0.439)+(D39*0.439)+(D40*0.383)+(D41*0.317)+(D42*0.202)</f>
        <v>7728.7780000000012</v>
      </c>
      <c r="E43" s="13">
        <f>(E37*0.561)+(E38*0.439)+(E39*0.439)+(E40*0.383)+(E41*0.317)+(E42*0.202)</f>
        <v>13428.769</v>
      </c>
      <c r="F43" s="13">
        <f>(F37*0.561)+(F38*0.439)+(F39*0.439)+(F40*0.383)+(F41*0.317)+(F42*0.202)</f>
        <v>17438.526999999998</v>
      </c>
    </row>
    <row r="44" spans="1:6" ht="19" customHeight="1" x14ac:dyDescent="0.15">
      <c r="A44" s="19"/>
      <c r="B44" s="16">
        <v>0.191</v>
      </c>
      <c r="C44" s="17">
        <v>0.36599999999999999</v>
      </c>
      <c r="D44" s="17">
        <v>0.255</v>
      </c>
      <c r="E44" s="17">
        <v>0.13400000000000001</v>
      </c>
      <c r="F44" s="17">
        <v>5.5E-2</v>
      </c>
    </row>
    <row r="45" spans="1:6" ht="19" customHeight="1" x14ac:dyDescent="0.15">
      <c r="A45" s="6" t="s">
        <v>30</v>
      </c>
      <c r="B45" s="18">
        <f>(B43*B44)+(C43*C44)+(D43*D44)+(E43*E44)+(F43*F44)</f>
        <v>8136.6901460000008</v>
      </c>
      <c r="C45" s="8"/>
      <c r="D45" s="13"/>
      <c r="E45" s="13"/>
      <c r="F45" s="13"/>
    </row>
    <row r="46" spans="1:6" ht="19" customHeight="1" x14ac:dyDescent="0.15">
      <c r="A46" s="19"/>
      <c r="B46" s="16"/>
      <c r="C46" s="20"/>
      <c r="D46" s="11"/>
      <c r="E46" s="11"/>
      <c r="F46" s="11"/>
    </row>
    <row r="47" spans="1:6" ht="19" customHeight="1" x14ac:dyDescent="0.15">
      <c r="A47" s="19"/>
      <c r="B47" s="27"/>
      <c r="C47" s="8"/>
      <c r="D47" s="14"/>
      <c r="E47" s="14"/>
      <c r="F47" s="14"/>
    </row>
    <row r="48" spans="1:6" ht="30" customHeight="1" x14ac:dyDescent="0.15">
      <c r="A48" s="15" t="s">
        <v>49</v>
      </c>
      <c r="B48" s="29">
        <f>B34-B11</f>
        <v>-3375.5775232974938</v>
      </c>
      <c r="C48" s="20"/>
      <c r="D48" s="11"/>
      <c r="E48" s="11"/>
      <c r="F48" s="11"/>
    </row>
    <row r="49" spans="1:6" ht="30" customHeight="1" x14ac:dyDescent="0.15">
      <c r="A49" s="15" t="s">
        <v>49</v>
      </c>
      <c r="B49" s="27">
        <f>B48/B11</f>
        <v>-0.20975405888845849</v>
      </c>
      <c r="C49" s="8"/>
      <c r="D49" s="14"/>
      <c r="E49" s="14"/>
      <c r="F49" s="14"/>
    </row>
    <row r="50" spans="1:6" ht="19" customHeight="1" x14ac:dyDescent="0.15">
      <c r="A50" s="19"/>
      <c r="B50" s="16"/>
      <c r="C50" s="20"/>
      <c r="D50" s="11"/>
      <c r="E50" s="11"/>
      <c r="F50" s="11"/>
    </row>
    <row r="51" spans="1:6" ht="30" customHeight="1" x14ac:dyDescent="0.15">
      <c r="A51" s="15" t="s">
        <v>50</v>
      </c>
      <c r="B51" s="18">
        <f>B45-B21</f>
        <v>-4527.8211640000027</v>
      </c>
      <c r="C51" s="8"/>
      <c r="D51" s="14"/>
      <c r="E51" s="14"/>
      <c r="F51" s="14"/>
    </row>
    <row r="52" spans="1:6" ht="30" customHeight="1" x14ac:dyDescent="0.15">
      <c r="A52" s="15" t="s">
        <v>50</v>
      </c>
      <c r="B52" s="16">
        <f>B51/B21</f>
        <v>-0.35752040115632394</v>
      </c>
      <c r="C52" s="20"/>
      <c r="D52" s="11"/>
      <c r="E52" s="11"/>
      <c r="F52" s="11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52"/>
  <sheetViews>
    <sheetView showGridLines="0" workbookViewId="0">
      <pane xSplit="1" topLeftCell="B1" activePane="topRight" state="frozen"/>
      <selection pane="topRight" sqref="A1:F1"/>
    </sheetView>
  </sheetViews>
  <sheetFormatPr baseColWidth="10" defaultColWidth="16.33203125" defaultRowHeight="20" customHeight="1" x14ac:dyDescent="0.15"/>
  <cols>
    <col min="1" max="1" width="78.6640625" style="46" customWidth="1"/>
    <col min="2" max="2" width="9.6640625" style="46" customWidth="1"/>
    <col min="3" max="3" width="9.83203125" style="46" customWidth="1"/>
    <col min="4" max="4" width="9.6640625" style="46" customWidth="1"/>
    <col min="5" max="5" width="9.83203125" style="46" customWidth="1"/>
    <col min="6" max="6" width="10.33203125" style="46" customWidth="1"/>
    <col min="7" max="256" width="16.33203125" style="46" customWidth="1"/>
  </cols>
  <sheetData>
    <row r="1" spans="1:6" ht="19.75" customHeight="1" x14ac:dyDescent="0.15">
      <c r="A1" s="115" t="s">
        <v>51</v>
      </c>
      <c r="B1" s="115"/>
      <c r="C1" s="115"/>
      <c r="D1" s="115"/>
      <c r="E1" s="115"/>
      <c r="F1" s="115"/>
    </row>
    <row r="2" spans="1:6" ht="20" customHeight="1" x14ac:dyDescent="0.15">
      <c r="A2" s="47" t="s">
        <v>52</v>
      </c>
      <c r="B2" s="48"/>
      <c r="C2" s="49"/>
      <c r="D2" s="49"/>
      <c r="E2" s="50"/>
      <c r="F2" s="49"/>
    </row>
    <row r="3" spans="1:6" ht="20" customHeight="1" x14ac:dyDescent="0.15">
      <c r="A3" s="51" t="s">
        <v>2</v>
      </c>
      <c r="B3" s="52">
        <v>1</v>
      </c>
      <c r="C3" s="49">
        <v>2</v>
      </c>
      <c r="D3" s="49"/>
      <c r="E3" s="49"/>
      <c r="F3" s="49"/>
    </row>
    <row r="4" spans="1:6" ht="20" customHeight="1" x14ac:dyDescent="0.15">
      <c r="A4" s="51" t="s">
        <v>3</v>
      </c>
      <c r="B4" s="53">
        <v>809.09090909090901</v>
      </c>
      <c r="C4" s="54">
        <v>1727.272727272727</v>
      </c>
      <c r="D4" s="50"/>
      <c r="E4" s="50"/>
      <c r="F4" s="50"/>
    </row>
    <row r="5" spans="1:6" ht="20" customHeight="1" x14ac:dyDescent="0.15">
      <c r="A5" s="51" t="s">
        <v>4</v>
      </c>
      <c r="B5" s="53"/>
      <c r="C5" s="54"/>
      <c r="D5" s="50"/>
      <c r="E5" s="50"/>
      <c r="F5" s="50"/>
    </row>
    <row r="6" spans="1:6" ht="20" customHeight="1" x14ac:dyDescent="0.15">
      <c r="A6" s="51" t="s">
        <v>5</v>
      </c>
      <c r="B6" s="53">
        <v>700</v>
      </c>
      <c r="C6" s="54">
        <v>1400</v>
      </c>
      <c r="D6" s="50"/>
      <c r="E6" s="50"/>
      <c r="F6" s="50"/>
    </row>
    <row r="7" spans="1:6" ht="20" customHeight="1" x14ac:dyDescent="0.15">
      <c r="A7" s="51" t="s">
        <v>6</v>
      </c>
      <c r="B7" s="53">
        <v>2600</v>
      </c>
      <c r="C7" s="54">
        <v>5000</v>
      </c>
      <c r="D7" s="50"/>
      <c r="E7" s="50"/>
      <c r="F7" s="50"/>
    </row>
    <row r="8" spans="1:6" ht="20" customHeight="1" x14ac:dyDescent="0.15">
      <c r="A8" s="51" t="s">
        <v>7</v>
      </c>
      <c r="B8" s="53">
        <v>4000</v>
      </c>
      <c r="C8" s="54">
        <v>7000</v>
      </c>
      <c r="D8" s="50"/>
      <c r="E8" s="50"/>
      <c r="F8" s="50"/>
    </row>
    <row r="9" spans="1:6" ht="20" customHeight="1" x14ac:dyDescent="0.15">
      <c r="A9" s="51" t="s">
        <v>53</v>
      </c>
      <c r="B9" s="53">
        <v>9727.2727272727261</v>
      </c>
      <c r="C9" s="54">
        <v>18581.81818181818</v>
      </c>
      <c r="D9" s="50"/>
      <c r="E9" s="50"/>
      <c r="F9" s="50"/>
    </row>
    <row r="10" spans="1:6" ht="20" customHeight="1" x14ac:dyDescent="0.15">
      <c r="A10" s="51" t="s">
        <v>54</v>
      </c>
      <c r="B10" s="55">
        <v>0.72699999999999998</v>
      </c>
      <c r="C10" s="56">
        <v>0.27300000000000002</v>
      </c>
      <c r="D10" s="50"/>
      <c r="E10" s="50"/>
      <c r="F10" s="50"/>
    </row>
    <row r="11" spans="1:6" ht="20" customHeight="1" x14ac:dyDescent="0.15">
      <c r="A11" s="47" t="s">
        <v>10</v>
      </c>
      <c r="B11" s="57">
        <f>(B9*B10)+(C9*C10)</f>
        <v>12144.563636363637</v>
      </c>
      <c r="C11" s="49"/>
      <c r="D11" s="50"/>
      <c r="E11" s="50"/>
      <c r="F11" s="50"/>
    </row>
    <row r="12" spans="1:6" ht="20" customHeight="1" x14ac:dyDescent="0.15">
      <c r="A12" s="58"/>
      <c r="B12" s="53"/>
      <c r="C12" s="49"/>
      <c r="D12" s="50"/>
      <c r="E12" s="50"/>
      <c r="F12" s="50"/>
    </row>
    <row r="13" spans="1:6" ht="32" customHeight="1" x14ac:dyDescent="0.15">
      <c r="A13" s="47" t="s">
        <v>55</v>
      </c>
      <c r="B13" s="55"/>
      <c r="C13" s="49"/>
      <c r="D13" s="50"/>
      <c r="E13" s="50"/>
      <c r="F13" s="50"/>
    </row>
    <row r="14" spans="1:6" ht="20" customHeight="1" x14ac:dyDescent="0.15">
      <c r="A14" s="51" t="s">
        <v>56</v>
      </c>
      <c r="B14" s="53">
        <f>B4*8</f>
        <v>6472.7272727272721</v>
      </c>
      <c r="C14" s="54">
        <f>C4*8</f>
        <v>13818.181818181816</v>
      </c>
      <c r="D14" s="50"/>
      <c r="E14" s="50"/>
      <c r="F14" s="50"/>
    </row>
    <row r="15" spans="1:6" ht="20" customHeight="1" x14ac:dyDescent="0.15">
      <c r="A15" s="51" t="s">
        <v>57</v>
      </c>
      <c r="B15" s="53">
        <f>B4*3</f>
        <v>2427.272727272727</v>
      </c>
      <c r="C15" s="54">
        <f>C4*3</f>
        <v>5181.8181818181811</v>
      </c>
      <c r="D15" s="50"/>
      <c r="E15" s="50"/>
      <c r="F15" s="50"/>
    </row>
    <row r="16" spans="1:6" ht="20" customHeight="1" x14ac:dyDescent="0.15">
      <c r="A16" s="51" t="s">
        <v>58</v>
      </c>
      <c r="B16" s="53">
        <v>700</v>
      </c>
      <c r="C16" s="54">
        <v>1400</v>
      </c>
      <c r="D16" s="50"/>
      <c r="E16" s="50"/>
      <c r="F16" s="50"/>
    </row>
    <row r="17" spans="1:6" ht="20" customHeight="1" x14ac:dyDescent="0.15">
      <c r="A17" s="51" t="s">
        <v>59</v>
      </c>
      <c r="B17" s="53">
        <v>2600</v>
      </c>
      <c r="C17" s="54">
        <v>5000</v>
      </c>
      <c r="D17" s="50"/>
      <c r="E17" s="50"/>
      <c r="F17" s="50"/>
    </row>
    <row r="18" spans="1:6" ht="20" customHeight="1" x14ac:dyDescent="0.15">
      <c r="A18" s="51" t="s">
        <v>60</v>
      </c>
      <c r="B18" s="53">
        <v>4000</v>
      </c>
      <c r="C18" s="54">
        <v>7000</v>
      </c>
      <c r="D18" s="50"/>
      <c r="E18" s="50"/>
      <c r="F18" s="50"/>
    </row>
    <row r="19" spans="1:6" ht="20" customHeight="1" x14ac:dyDescent="0.15">
      <c r="A19" s="51" t="s">
        <v>17</v>
      </c>
      <c r="B19" s="59">
        <f>(B14*0.752)+(B15*0.248)+(B16*0.248)+(B17*0.212)+(B18*0.175)</f>
        <v>6894.2545454545452</v>
      </c>
      <c r="C19" s="60">
        <f>(C14*0.752)+(C15*0.248)+(C16*0.248)+(C17*0.212)+(C18*0.175)</f>
        <v>14308.563636363637</v>
      </c>
      <c r="D19" s="50"/>
      <c r="E19" s="50"/>
      <c r="F19" s="50"/>
    </row>
    <row r="20" spans="1:6" ht="20" customHeight="1" x14ac:dyDescent="0.15">
      <c r="A20" s="51" t="s">
        <v>54</v>
      </c>
      <c r="B20" s="55">
        <v>0.72699999999999998</v>
      </c>
      <c r="C20" s="56">
        <v>0.27300000000000002</v>
      </c>
      <c r="D20" s="50"/>
      <c r="E20" s="50"/>
      <c r="F20" s="50"/>
    </row>
    <row r="21" spans="1:6" ht="20" customHeight="1" x14ac:dyDescent="0.15">
      <c r="A21" s="47" t="s">
        <v>10</v>
      </c>
      <c r="B21" s="57">
        <f>(B19*B20)+(C19*C20)</f>
        <v>8918.3609272727281</v>
      </c>
      <c r="C21" s="49"/>
      <c r="D21" s="50"/>
      <c r="E21" s="50"/>
      <c r="F21" s="50"/>
    </row>
    <row r="22" spans="1:6" ht="20" customHeight="1" x14ac:dyDescent="0.15">
      <c r="A22" s="58"/>
      <c r="B22" s="52"/>
      <c r="C22" s="49"/>
      <c r="D22" s="49"/>
      <c r="E22" s="49"/>
      <c r="F22" s="49"/>
    </row>
    <row r="23" spans="1:6" ht="20" customHeight="1" x14ac:dyDescent="0.15">
      <c r="A23" s="61" t="s">
        <v>43</v>
      </c>
      <c r="B23" s="62"/>
      <c r="C23" s="63"/>
      <c r="D23" s="63"/>
      <c r="E23" s="63"/>
      <c r="F23" s="63"/>
    </row>
    <row r="24" spans="1:6" ht="20" customHeight="1" x14ac:dyDescent="0.15">
      <c r="A24" s="51" t="s">
        <v>2</v>
      </c>
      <c r="B24" s="52">
        <v>1</v>
      </c>
      <c r="C24" s="49">
        <v>2</v>
      </c>
      <c r="D24" s="49">
        <v>3</v>
      </c>
      <c r="E24" s="49">
        <v>4</v>
      </c>
      <c r="F24" s="49">
        <v>5</v>
      </c>
    </row>
    <row r="25" spans="1:6" ht="20" customHeight="1" x14ac:dyDescent="0.15">
      <c r="A25" s="51" t="s">
        <v>3</v>
      </c>
      <c r="B25" s="53">
        <v>662</v>
      </c>
      <c r="C25" s="54">
        <v>662</v>
      </c>
      <c r="D25" s="54">
        <v>662</v>
      </c>
      <c r="E25" s="54">
        <v>1389</v>
      </c>
      <c r="F25" s="54">
        <v>1389</v>
      </c>
    </row>
    <row r="26" spans="1:6" ht="20" customHeight="1" x14ac:dyDescent="0.15">
      <c r="A26" s="51" t="s">
        <v>4</v>
      </c>
      <c r="B26" s="52"/>
      <c r="C26" s="49"/>
      <c r="D26" s="49"/>
      <c r="E26" s="49"/>
      <c r="F26" s="49"/>
    </row>
    <row r="27" spans="1:6" ht="20" customHeight="1" x14ac:dyDescent="0.15">
      <c r="A27" s="51" t="s">
        <v>19</v>
      </c>
      <c r="B27" s="53">
        <v>704</v>
      </c>
      <c r="C27" s="54">
        <v>976</v>
      </c>
      <c r="D27" s="54">
        <v>1191</v>
      </c>
      <c r="E27" s="54">
        <v>1414</v>
      </c>
      <c r="F27" s="54">
        <v>1897</v>
      </c>
    </row>
    <row r="28" spans="1:6" ht="20" customHeight="1" x14ac:dyDescent="0.15">
      <c r="A28" s="51" t="s">
        <v>6</v>
      </c>
      <c r="B28" s="53">
        <v>1246</v>
      </c>
      <c r="C28" s="54">
        <v>2395</v>
      </c>
      <c r="D28" s="54">
        <v>3567</v>
      </c>
      <c r="E28" s="54">
        <v>5032</v>
      </c>
      <c r="F28" s="54">
        <v>9060</v>
      </c>
    </row>
    <row r="29" spans="1:6" ht="20" customHeight="1" x14ac:dyDescent="0.15">
      <c r="A29" s="51" t="s">
        <v>7</v>
      </c>
      <c r="B29" s="53">
        <v>1929</v>
      </c>
      <c r="C29" s="54">
        <v>3705</v>
      </c>
      <c r="D29" s="54">
        <v>5518</v>
      </c>
      <c r="E29" s="54">
        <v>7786</v>
      </c>
      <c r="F29" s="54">
        <v>14017</v>
      </c>
    </row>
    <row r="30" spans="1:6" ht="20" customHeight="1" x14ac:dyDescent="0.15">
      <c r="A30" s="51" t="s">
        <v>20</v>
      </c>
      <c r="B30" s="53">
        <v>429</v>
      </c>
      <c r="C30" s="54">
        <v>823</v>
      </c>
      <c r="D30" s="54">
        <v>1226</v>
      </c>
      <c r="E30" s="54">
        <v>1730</v>
      </c>
      <c r="F30" s="54">
        <v>3115</v>
      </c>
    </row>
    <row r="31" spans="1:6" ht="20" customHeight="1" x14ac:dyDescent="0.15">
      <c r="A31" s="51" t="s">
        <v>61</v>
      </c>
      <c r="B31" s="53">
        <f>(3*B25)+B27+B28+B29+B30</f>
        <v>6294</v>
      </c>
      <c r="C31" s="54">
        <f>(3*C25)+C27+C28+C29+C30</f>
        <v>9885</v>
      </c>
      <c r="D31" s="54">
        <f>(3*D25)+D27+D28+D29+D30</f>
        <v>13488</v>
      </c>
      <c r="E31" s="54">
        <f>(3*E25)+E27+E28+E29+E30</f>
        <v>20129</v>
      </c>
      <c r="F31" s="54">
        <f>(3*F25)+F27+F28+F29+F30</f>
        <v>32256</v>
      </c>
    </row>
    <row r="32" spans="1:6" ht="20" customHeight="1" x14ac:dyDescent="0.15">
      <c r="A32" s="51" t="s">
        <v>22</v>
      </c>
      <c r="B32" s="52">
        <v>738</v>
      </c>
      <c r="C32" s="49">
        <v>3872</v>
      </c>
      <c r="D32" s="49">
        <v>6454</v>
      </c>
      <c r="E32" s="49">
        <v>8787</v>
      </c>
      <c r="F32" s="49">
        <v>11552</v>
      </c>
    </row>
    <row r="33" spans="1:6" ht="20" customHeight="1" x14ac:dyDescent="0.15">
      <c r="A33" s="51" t="s">
        <v>62</v>
      </c>
      <c r="B33" s="55">
        <f>B32/SUM($B$32:$F$32)</f>
        <v>2.3500939400694202E-2</v>
      </c>
      <c r="C33" s="56">
        <f>C32/SUM($B$32:$F$32)</f>
        <v>0.12330032162532242</v>
      </c>
      <c r="D33" s="56">
        <f>D32/SUM($B$32:$F$32)</f>
        <v>0.20552176543642328</v>
      </c>
      <c r="E33" s="56">
        <f>E32/SUM($B$32:$F$32)</f>
        <v>0.2798140305066395</v>
      </c>
      <c r="F33" s="56">
        <f>F32/SUM($B$32:$F$32)</f>
        <v>0.3678629430309206</v>
      </c>
    </row>
    <row r="34" spans="1:6" ht="20" customHeight="1" x14ac:dyDescent="0.15">
      <c r="A34" s="47" t="s">
        <v>24</v>
      </c>
      <c r="B34" s="57">
        <f>(B31*B33)+(C31*C33)+(D31*D33)+(E31*E33)+(F31*F33)</f>
        <v>21636.979874534278</v>
      </c>
      <c r="C34" s="49"/>
      <c r="D34" s="49"/>
      <c r="E34" s="49"/>
      <c r="F34" s="49"/>
    </row>
    <row r="35" spans="1:6" ht="20" customHeight="1" x14ac:dyDescent="0.15">
      <c r="A35" s="58"/>
      <c r="B35" s="52"/>
      <c r="C35" s="49"/>
      <c r="D35" s="50"/>
      <c r="E35" s="49"/>
      <c r="F35" s="49"/>
    </row>
    <row r="36" spans="1:6" ht="20" customHeight="1" x14ac:dyDescent="0.15">
      <c r="A36" s="47" t="s">
        <v>63</v>
      </c>
      <c r="B36" s="52"/>
      <c r="C36" s="49"/>
      <c r="D36" s="50"/>
      <c r="E36" s="49"/>
      <c r="F36" s="49"/>
    </row>
    <row r="37" spans="1:6" ht="20" customHeight="1" x14ac:dyDescent="0.15">
      <c r="A37" s="51" t="s">
        <v>56</v>
      </c>
      <c r="B37" s="53">
        <f>8*B25</f>
        <v>5296</v>
      </c>
      <c r="C37" s="54">
        <f>8*C25</f>
        <v>5296</v>
      </c>
      <c r="D37" s="54">
        <f>8*D25</f>
        <v>5296</v>
      </c>
      <c r="E37" s="54">
        <f>8*E25</f>
        <v>11112</v>
      </c>
      <c r="F37" s="54">
        <f>8*F25</f>
        <v>11112</v>
      </c>
    </row>
    <row r="38" spans="1:6" ht="20" customHeight="1" x14ac:dyDescent="0.15">
      <c r="A38" s="51" t="s">
        <v>57</v>
      </c>
      <c r="B38" s="53">
        <f>3*B25</f>
        <v>1986</v>
      </c>
      <c r="C38" s="54">
        <f>3*C25</f>
        <v>1986</v>
      </c>
      <c r="D38" s="54">
        <f>3*D25</f>
        <v>1986</v>
      </c>
      <c r="E38" s="54">
        <f>3*E25</f>
        <v>4167</v>
      </c>
      <c r="F38" s="54">
        <f>3*F25</f>
        <v>4167</v>
      </c>
    </row>
    <row r="39" spans="1:6" ht="20" customHeight="1" x14ac:dyDescent="0.15">
      <c r="A39" s="51" t="s">
        <v>58</v>
      </c>
      <c r="B39" s="53">
        <v>704</v>
      </c>
      <c r="C39" s="54">
        <v>976</v>
      </c>
      <c r="D39" s="54">
        <v>1191</v>
      </c>
      <c r="E39" s="54">
        <v>1414</v>
      </c>
      <c r="F39" s="54">
        <v>1897</v>
      </c>
    </row>
    <row r="40" spans="1:6" ht="20" customHeight="1" x14ac:dyDescent="0.15">
      <c r="A40" s="51" t="s">
        <v>59</v>
      </c>
      <c r="B40" s="53">
        <v>1246</v>
      </c>
      <c r="C40" s="54">
        <v>2395</v>
      </c>
      <c r="D40" s="54">
        <v>3567</v>
      </c>
      <c r="E40" s="54">
        <v>5032</v>
      </c>
      <c r="F40" s="54">
        <v>9060</v>
      </c>
    </row>
    <row r="41" spans="1:6" ht="20" customHeight="1" x14ac:dyDescent="0.15">
      <c r="A41" s="51" t="s">
        <v>60</v>
      </c>
      <c r="B41" s="53">
        <v>1929</v>
      </c>
      <c r="C41" s="54">
        <v>3705</v>
      </c>
      <c r="D41" s="54">
        <v>5518</v>
      </c>
      <c r="E41" s="54">
        <v>7786</v>
      </c>
      <c r="F41" s="54">
        <v>14017</v>
      </c>
    </row>
    <row r="42" spans="1:6" ht="20" customHeight="1" x14ac:dyDescent="0.15">
      <c r="A42" s="51" t="s">
        <v>64</v>
      </c>
      <c r="B42" s="53">
        <v>429</v>
      </c>
      <c r="C42" s="54">
        <v>823</v>
      </c>
      <c r="D42" s="54">
        <v>1226</v>
      </c>
      <c r="E42" s="54">
        <v>1730</v>
      </c>
      <c r="F42" s="54">
        <v>3115</v>
      </c>
    </row>
    <row r="43" spans="1:6" ht="20" customHeight="1" x14ac:dyDescent="0.15">
      <c r="A43" s="64" t="s">
        <v>17</v>
      </c>
      <c r="B43" s="53">
        <f>(B37*0.752)+(B38*0.248)+(B39*0.248)+(B40*0.212)+(B41*0.175)+(B42*0.109)</f>
        <v>5298.2</v>
      </c>
      <c r="C43" s="54">
        <f>(C37*0.752)+(C38*0.248)+(C39*0.248)+(C40*0.212)+(C41*0.175)+(C42*0.109)</f>
        <v>5962.99</v>
      </c>
      <c r="D43" s="54">
        <f>(D37*0.752)+(D38*0.248)+(D39*0.248)+(D40*0.212)+(D41*0.175)+(D42*0.109)</f>
        <v>6625.9759999999997</v>
      </c>
      <c r="E43" s="54">
        <f>(E37*0.752)+(E38*0.248)+(E39*0.248)+(E40*0.212)+(E41*0.175)+(E42*0.109)</f>
        <v>12358.215999999999</v>
      </c>
      <c r="F43" s="54">
        <f>(F37*0.752)+(F38*0.248)+(F39*0.248)+(F40*0.212)+(F41*0.175)+(F42*0.109)</f>
        <v>14573.325999999999</v>
      </c>
    </row>
    <row r="44" spans="1:6" ht="20" customHeight="1" x14ac:dyDescent="0.15">
      <c r="A44" s="65" t="s">
        <v>62</v>
      </c>
      <c r="B44" s="55">
        <v>2.4E-2</v>
      </c>
      <c r="C44" s="56">
        <v>0.123</v>
      </c>
      <c r="D44" s="56">
        <v>0.20599999999999999</v>
      </c>
      <c r="E44" s="56">
        <v>0.28000000000000003</v>
      </c>
      <c r="F44" s="56">
        <v>0.36799999999999999</v>
      </c>
    </row>
    <row r="45" spans="1:6" ht="20" customHeight="1" x14ac:dyDescent="0.15">
      <c r="A45" s="66" t="s">
        <v>30</v>
      </c>
      <c r="B45" s="67">
        <f>(B43*B44)+(C43*C44)+(D43*D44)+(E43*E44)+(F43*F44)</f>
        <v>11048.840074</v>
      </c>
      <c r="C45" s="54"/>
      <c r="D45" s="54"/>
      <c r="E45" s="54"/>
      <c r="F45" s="54"/>
    </row>
    <row r="46" spans="1:6" ht="20" customHeight="1" x14ac:dyDescent="0.15">
      <c r="A46" s="68"/>
      <c r="B46" s="69"/>
      <c r="C46" s="50"/>
      <c r="D46" s="50"/>
      <c r="E46" s="50"/>
      <c r="F46" s="50"/>
    </row>
    <row r="47" spans="1:6" ht="20" customHeight="1" x14ac:dyDescent="0.15">
      <c r="A47" s="68"/>
      <c r="B47" s="69"/>
      <c r="C47" s="50"/>
      <c r="D47" s="50"/>
      <c r="E47" s="50"/>
      <c r="F47" s="50"/>
    </row>
    <row r="48" spans="1:6" ht="32" customHeight="1" x14ac:dyDescent="0.15">
      <c r="A48" s="70" t="s">
        <v>65</v>
      </c>
      <c r="B48" s="71">
        <f>B34-B11</f>
        <v>9492.416238170641</v>
      </c>
      <c r="C48" s="72"/>
      <c r="D48" s="73"/>
      <c r="E48" s="73"/>
      <c r="F48" s="73"/>
    </row>
    <row r="49" spans="1:6" ht="32" customHeight="1" x14ac:dyDescent="0.15">
      <c r="A49" s="70" t="s">
        <v>65</v>
      </c>
      <c r="B49" s="74">
        <f>B48/B11</f>
        <v>0.78161855150959458</v>
      </c>
      <c r="C49" s="72"/>
      <c r="D49" s="73"/>
      <c r="E49" s="73"/>
      <c r="F49" s="73"/>
    </row>
    <row r="50" spans="1:6" ht="20" customHeight="1" x14ac:dyDescent="0.15">
      <c r="A50" s="75"/>
      <c r="B50" s="74"/>
      <c r="C50" s="72"/>
      <c r="D50" s="73"/>
      <c r="E50" s="73"/>
      <c r="F50" s="73"/>
    </row>
    <row r="51" spans="1:6" ht="32" customHeight="1" x14ac:dyDescent="0.15">
      <c r="A51" s="70" t="s">
        <v>66</v>
      </c>
      <c r="B51" s="71">
        <f>B45-B21</f>
        <v>2130.4791467272717</v>
      </c>
      <c r="C51" s="72"/>
      <c r="D51" s="73"/>
      <c r="E51" s="73"/>
      <c r="F51" s="73"/>
    </row>
    <row r="52" spans="1:6" ht="32" customHeight="1" x14ac:dyDescent="0.15">
      <c r="A52" s="70" t="s">
        <v>66</v>
      </c>
      <c r="B52" s="74">
        <f>B51/B21</f>
        <v>0.23888684973627558</v>
      </c>
      <c r="C52" s="72"/>
      <c r="D52" s="73"/>
      <c r="E52" s="73"/>
      <c r="F52" s="73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52"/>
  <sheetViews>
    <sheetView showGridLines="0" workbookViewId="0">
      <pane xSplit="1" topLeftCell="B1" activePane="topRight" state="frozen"/>
      <selection pane="topRight" sqref="A1:F1"/>
    </sheetView>
  </sheetViews>
  <sheetFormatPr baseColWidth="10" defaultColWidth="16.33203125" defaultRowHeight="20" customHeight="1" x14ac:dyDescent="0.15"/>
  <cols>
    <col min="1" max="1" width="81.83203125" style="76" customWidth="1"/>
    <col min="2" max="2" width="10.83203125" style="76" customWidth="1"/>
    <col min="3" max="3" width="11" style="76" customWidth="1"/>
    <col min="4" max="4" width="10" style="76" customWidth="1"/>
    <col min="5" max="5" width="10.1640625" style="76" customWidth="1"/>
    <col min="6" max="6" width="10.6640625" style="76" customWidth="1"/>
    <col min="7" max="256" width="16.33203125" style="76" customWidth="1"/>
  </cols>
  <sheetData>
    <row r="1" spans="1:6" ht="19.75" customHeight="1" x14ac:dyDescent="0.15">
      <c r="A1" s="114" t="s">
        <v>67</v>
      </c>
      <c r="B1" s="114"/>
      <c r="C1" s="114"/>
      <c r="D1" s="114"/>
      <c r="E1" s="114"/>
      <c r="F1" s="114"/>
    </row>
    <row r="2" spans="1:6" ht="19" customHeight="1" x14ac:dyDescent="0.15">
      <c r="A2" s="77" t="s">
        <v>34</v>
      </c>
      <c r="B2" s="78"/>
      <c r="C2" s="41"/>
      <c r="D2" s="41"/>
      <c r="E2" s="42"/>
      <c r="F2" s="41"/>
    </row>
    <row r="3" spans="1:6" ht="19" customHeight="1" x14ac:dyDescent="0.15">
      <c r="A3" s="79" t="s">
        <v>2</v>
      </c>
      <c r="B3" s="80">
        <v>1</v>
      </c>
      <c r="C3" s="8">
        <v>2</v>
      </c>
      <c r="D3" s="8"/>
      <c r="E3" s="8"/>
      <c r="F3" s="8"/>
    </row>
    <row r="4" spans="1:6" ht="19" customHeight="1" x14ac:dyDescent="0.15">
      <c r="A4" s="79" t="s">
        <v>3</v>
      </c>
      <c r="B4" s="81">
        <v>809</v>
      </c>
      <c r="C4" s="10">
        <v>1727</v>
      </c>
      <c r="D4" s="11"/>
      <c r="E4" s="11"/>
      <c r="F4" s="11"/>
    </row>
    <row r="5" spans="1:6" ht="19" customHeight="1" x14ac:dyDescent="0.15">
      <c r="A5" s="79" t="s">
        <v>4</v>
      </c>
      <c r="B5" s="82"/>
      <c r="C5" s="13"/>
      <c r="D5" s="14"/>
      <c r="E5" s="14"/>
      <c r="F5" s="14"/>
    </row>
    <row r="6" spans="1:6" ht="19" customHeight="1" x14ac:dyDescent="0.15">
      <c r="A6" s="79" t="s">
        <v>5</v>
      </c>
      <c r="B6" s="81">
        <v>700</v>
      </c>
      <c r="C6" s="10">
        <v>1400</v>
      </c>
      <c r="D6" s="11"/>
      <c r="E6" s="11"/>
      <c r="F6" s="11"/>
    </row>
    <row r="7" spans="1:6" ht="19" customHeight="1" x14ac:dyDescent="0.15">
      <c r="A7" s="79" t="s">
        <v>6</v>
      </c>
      <c r="B7" s="82">
        <v>2600</v>
      </c>
      <c r="C7" s="13">
        <v>5000</v>
      </c>
      <c r="D7" s="14"/>
      <c r="E7" s="14"/>
      <c r="F7" s="14"/>
    </row>
    <row r="8" spans="1:6" ht="19" customHeight="1" x14ac:dyDescent="0.15">
      <c r="A8" s="79" t="s">
        <v>7</v>
      </c>
      <c r="B8" s="81">
        <v>4000</v>
      </c>
      <c r="C8" s="10">
        <v>7000</v>
      </c>
      <c r="D8" s="11"/>
      <c r="E8" s="11"/>
      <c r="F8" s="11"/>
    </row>
    <row r="9" spans="1:6" ht="19" customHeight="1" x14ac:dyDescent="0.15">
      <c r="A9" s="79" t="s">
        <v>8</v>
      </c>
      <c r="B9" s="82">
        <f>(3*B4)+B6+B7+B8</f>
        <v>9727</v>
      </c>
      <c r="C9" s="13">
        <f>(3*C4)+C6+C7+C8</f>
        <v>18581</v>
      </c>
      <c r="D9" s="14"/>
      <c r="E9" s="14"/>
      <c r="F9" s="14"/>
    </row>
    <row r="10" spans="1:6" ht="19" customHeight="1" x14ac:dyDescent="0.15">
      <c r="A10" s="79" t="s">
        <v>68</v>
      </c>
      <c r="B10" s="83">
        <v>0.60299999999999998</v>
      </c>
      <c r="C10" s="17">
        <v>0.39700000000000002</v>
      </c>
      <c r="D10" s="11"/>
      <c r="E10" s="11"/>
      <c r="F10" s="11"/>
    </row>
    <row r="11" spans="1:6" ht="19" customHeight="1" x14ac:dyDescent="0.15">
      <c r="A11" s="84" t="s">
        <v>10</v>
      </c>
      <c r="B11" s="85">
        <f>(B9*B10)+(C9*C10)</f>
        <v>13242.038</v>
      </c>
      <c r="C11" s="8"/>
      <c r="D11" s="14"/>
      <c r="E11" s="14"/>
      <c r="F11" s="14"/>
    </row>
    <row r="12" spans="1:6" ht="19" customHeight="1" x14ac:dyDescent="0.15">
      <c r="A12" s="86"/>
      <c r="B12" s="83"/>
      <c r="C12" s="20"/>
      <c r="D12" s="11"/>
      <c r="E12" s="11"/>
      <c r="F12" s="11"/>
    </row>
    <row r="13" spans="1:6" ht="20" customHeight="1" x14ac:dyDescent="0.15">
      <c r="A13" s="87" t="s">
        <v>55</v>
      </c>
      <c r="B13" s="88"/>
      <c r="C13" s="89"/>
      <c r="D13" s="14"/>
      <c r="E13" s="14"/>
      <c r="F13" s="14"/>
    </row>
    <row r="14" spans="1:6" ht="20" customHeight="1" x14ac:dyDescent="0.15">
      <c r="A14" s="90" t="s">
        <v>69</v>
      </c>
      <c r="B14" s="91">
        <f>8*B4</f>
        <v>6472</v>
      </c>
      <c r="C14" s="92">
        <f>8*C4</f>
        <v>13816</v>
      </c>
      <c r="D14" s="11"/>
      <c r="E14" s="11"/>
      <c r="F14" s="11"/>
    </row>
    <row r="15" spans="1:6" ht="20" customHeight="1" x14ac:dyDescent="0.15">
      <c r="A15" s="90" t="s">
        <v>70</v>
      </c>
      <c r="B15" s="93">
        <f>3*B4</f>
        <v>2427</v>
      </c>
      <c r="C15" s="94">
        <f>3*C4</f>
        <v>5181</v>
      </c>
      <c r="D15" s="14"/>
      <c r="E15" s="14"/>
      <c r="F15" s="14"/>
    </row>
    <row r="16" spans="1:6" ht="20" customHeight="1" x14ac:dyDescent="0.15">
      <c r="A16" s="90" t="s">
        <v>71</v>
      </c>
      <c r="B16" s="91">
        <v>700</v>
      </c>
      <c r="C16" s="92">
        <v>1400</v>
      </c>
      <c r="D16" s="11"/>
      <c r="E16" s="11"/>
      <c r="F16" s="11"/>
    </row>
    <row r="17" spans="1:6" ht="20" customHeight="1" x14ac:dyDescent="0.15">
      <c r="A17" s="90" t="s">
        <v>72</v>
      </c>
      <c r="B17" s="93">
        <v>2600</v>
      </c>
      <c r="C17" s="94">
        <v>5000</v>
      </c>
      <c r="D17" s="14"/>
      <c r="E17" s="14"/>
      <c r="F17" s="14"/>
    </row>
    <row r="18" spans="1:6" ht="20" customHeight="1" x14ac:dyDescent="0.15">
      <c r="A18" s="90" t="s">
        <v>73</v>
      </c>
      <c r="B18" s="91">
        <v>4000</v>
      </c>
      <c r="C18" s="92">
        <v>7000</v>
      </c>
      <c r="D18" s="11"/>
      <c r="E18" s="11"/>
      <c r="F18" s="11"/>
    </row>
    <row r="19" spans="1:6" ht="20" customHeight="1" x14ac:dyDescent="0.15">
      <c r="A19" s="90" t="s">
        <v>17</v>
      </c>
      <c r="B19" s="95">
        <f>(B14*0.694)+(B15*0.306)+(B16*0.306)+(B17*0.24)+(B18*0.192)</f>
        <v>6840.4299999999994</v>
      </c>
      <c r="C19" s="96">
        <f>(C14*0.694)+(C15*0.306)+(C16*0.306)+(C17*0.24)+(C18*0.192)</f>
        <v>14146.09</v>
      </c>
      <c r="D19" s="14"/>
      <c r="E19" s="14"/>
      <c r="F19" s="14"/>
    </row>
    <row r="20" spans="1:6" ht="20" customHeight="1" x14ac:dyDescent="0.15">
      <c r="A20" s="90" t="s">
        <v>68</v>
      </c>
      <c r="B20" s="97">
        <v>0.17199999999999999</v>
      </c>
      <c r="C20" s="98">
        <v>0.82799999999999996</v>
      </c>
      <c r="D20" s="11"/>
      <c r="E20" s="11"/>
      <c r="F20" s="11"/>
    </row>
    <row r="21" spans="1:6" ht="20" customHeight="1" x14ac:dyDescent="0.15">
      <c r="A21" s="87" t="s">
        <v>10</v>
      </c>
      <c r="B21" s="99">
        <f>(B19*B20)+(C19*C20)</f>
        <v>12889.516479999998</v>
      </c>
      <c r="C21" s="89"/>
      <c r="D21" s="14"/>
      <c r="E21" s="14"/>
      <c r="F21" s="14"/>
    </row>
    <row r="22" spans="1:6" ht="19" customHeight="1" x14ac:dyDescent="0.15">
      <c r="A22" s="86"/>
      <c r="B22" s="83"/>
      <c r="C22" s="20"/>
      <c r="D22" s="11"/>
      <c r="E22" s="11"/>
      <c r="F22" s="11"/>
    </row>
    <row r="23" spans="1:6" ht="19" customHeight="1" x14ac:dyDescent="0.15">
      <c r="A23" s="77" t="s">
        <v>43</v>
      </c>
      <c r="B23" s="100"/>
      <c r="C23" s="45"/>
      <c r="D23" s="45"/>
      <c r="E23" s="45"/>
      <c r="F23" s="45"/>
    </row>
    <row r="24" spans="1:6" ht="19" customHeight="1" x14ac:dyDescent="0.15">
      <c r="A24" s="84" t="s">
        <v>2</v>
      </c>
      <c r="B24" s="101">
        <v>1</v>
      </c>
      <c r="C24" s="20">
        <v>2</v>
      </c>
      <c r="D24" s="20">
        <v>3</v>
      </c>
      <c r="E24" s="20">
        <v>4</v>
      </c>
      <c r="F24" s="20">
        <v>5</v>
      </c>
    </row>
    <row r="25" spans="1:6" ht="19" customHeight="1" x14ac:dyDescent="0.15">
      <c r="A25" s="84" t="s">
        <v>3</v>
      </c>
      <c r="B25" s="82">
        <v>662</v>
      </c>
      <c r="C25" s="13">
        <v>662</v>
      </c>
      <c r="D25" s="13">
        <v>662</v>
      </c>
      <c r="E25" s="13">
        <v>1389</v>
      </c>
      <c r="F25" s="13">
        <v>1389</v>
      </c>
    </row>
    <row r="26" spans="1:6" ht="19" customHeight="1" x14ac:dyDescent="0.15">
      <c r="A26" s="84" t="s">
        <v>4</v>
      </c>
      <c r="B26" s="101"/>
      <c r="C26" s="20"/>
      <c r="D26" s="20"/>
      <c r="E26" s="20"/>
      <c r="F26" s="20"/>
    </row>
    <row r="27" spans="1:6" ht="19" customHeight="1" x14ac:dyDescent="0.15">
      <c r="A27" s="79" t="s">
        <v>19</v>
      </c>
      <c r="B27" s="82">
        <v>704</v>
      </c>
      <c r="C27" s="13">
        <v>976</v>
      </c>
      <c r="D27" s="13">
        <v>1191</v>
      </c>
      <c r="E27" s="13">
        <v>1414</v>
      </c>
      <c r="F27" s="13">
        <v>1897</v>
      </c>
    </row>
    <row r="28" spans="1:6" ht="19" customHeight="1" x14ac:dyDescent="0.15">
      <c r="A28" s="79" t="s">
        <v>6</v>
      </c>
      <c r="B28" s="81">
        <v>1246</v>
      </c>
      <c r="C28" s="10">
        <v>2395</v>
      </c>
      <c r="D28" s="10">
        <v>3567</v>
      </c>
      <c r="E28" s="10">
        <v>5032</v>
      </c>
      <c r="F28" s="10">
        <v>9060</v>
      </c>
    </row>
    <row r="29" spans="1:6" ht="19" customHeight="1" x14ac:dyDescent="0.15">
      <c r="A29" s="79" t="s">
        <v>7</v>
      </c>
      <c r="B29" s="82">
        <v>1929</v>
      </c>
      <c r="C29" s="13">
        <v>3705</v>
      </c>
      <c r="D29" s="13">
        <v>5518</v>
      </c>
      <c r="E29" s="13">
        <v>7786</v>
      </c>
      <c r="F29" s="13">
        <v>14017</v>
      </c>
    </row>
    <row r="30" spans="1:6" ht="19" customHeight="1" x14ac:dyDescent="0.15">
      <c r="A30" s="79" t="s">
        <v>20</v>
      </c>
      <c r="B30" s="81">
        <v>429</v>
      </c>
      <c r="C30" s="10">
        <v>823</v>
      </c>
      <c r="D30" s="10">
        <v>1226</v>
      </c>
      <c r="E30" s="10">
        <v>1730</v>
      </c>
      <c r="F30" s="10">
        <v>3115</v>
      </c>
    </row>
    <row r="31" spans="1:6" ht="19" customHeight="1" x14ac:dyDescent="0.15">
      <c r="A31" s="84" t="s">
        <v>44</v>
      </c>
      <c r="B31" s="82">
        <f>(3*B25)+B27+B28+B29+B30</f>
        <v>6294</v>
      </c>
      <c r="C31" s="13">
        <f>(3*C25)+C27+C28+C29+C30</f>
        <v>9885</v>
      </c>
      <c r="D31" s="13">
        <f>(3*D25)+D27+D28+D29+D30</f>
        <v>13488</v>
      </c>
      <c r="E31" s="13">
        <f>(3*E25)+E27+E28+E29+E30</f>
        <v>20129</v>
      </c>
      <c r="F31" s="13">
        <f>(3*F25)+F27+F28+F29+F30</f>
        <v>32256</v>
      </c>
    </row>
    <row r="32" spans="1:6" ht="19" customHeight="1" x14ac:dyDescent="0.15">
      <c r="A32" s="79" t="s">
        <v>74</v>
      </c>
      <c r="B32" s="101">
        <v>711</v>
      </c>
      <c r="C32" s="20">
        <v>4771</v>
      </c>
      <c r="D32" s="20">
        <v>7689</v>
      </c>
      <c r="E32" s="20">
        <v>8387</v>
      </c>
      <c r="F32" s="20">
        <v>7769</v>
      </c>
    </row>
    <row r="33" spans="1:6" ht="19" customHeight="1" x14ac:dyDescent="0.15">
      <c r="A33" s="79" t="s">
        <v>75</v>
      </c>
      <c r="B33" s="102">
        <f>B32/SUM($B$32:$F$32)</f>
        <v>2.4243870835748627E-2</v>
      </c>
      <c r="C33" s="28">
        <f>C32/SUM($B$32:$F$32)</f>
        <v>0.16268285197940466</v>
      </c>
      <c r="D33" s="28">
        <f>D32/SUM($B$32:$F$32)</f>
        <v>0.26218160739250518</v>
      </c>
      <c r="E33" s="28">
        <f>E32/SUM($B$32:$F$32)</f>
        <v>0.28598220070242436</v>
      </c>
      <c r="F33" s="28">
        <f>F32/SUM($B$32:$F$32)</f>
        <v>0.26490946908991714</v>
      </c>
    </row>
    <row r="34" spans="1:6" ht="19" customHeight="1" x14ac:dyDescent="0.15">
      <c r="A34" s="84" t="s">
        <v>24</v>
      </c>
      <c r="B34" s="103">
        <f>(B31*B33)+(C31*C33)+(D31*D33)+(E31*E33)+(F31*F33)</f>
        <v>19598.471988270194</v>
      </c>
      <c r="C34" s="20"/>
      <c r="D34" s="20"/>
      <c r="E34" s="20"/>
      <c r="F34" s="20"/>
    </row>
    <row r="35" spans="1:6" ht="19" customHeight="1" x14ac:dyDescent="0.15">
      <c r="A35" s="86"/>
      <c r="B35" s="102"/>
      <c r="C35" s="8"/>
      <c r="D35" s="14"/>
      <c r="E35" s="14"/>
      <c r="F35" s="14"/>
    </row>
    <row r="36" spans="1:6" ht="20" customHeight="1" x14ac:dyDescent="0.15">
      <c r="A36" s="87" t="s">
        <v>63</v>
      </c>
      <c r="B36" s="104"/>
      <c r="C36" s="105"/>
      <c r="D36" s="33"/>
      <c r="E36" s="105"/>
      <c r="F36" s="105"/>
    </row>
    <row r="37" spans="1:6" ht="20" customHeight="1" x14ac:dyDescent="0.15">
      <c r="A37" s="90" t="s">
        <v>69</v>
      </c>
      <c r="B37" s="93">
        <f>8*B25</f>
        <v>5296</v>
      </c>
      <c r="C37" s="94">
        <f>8*C25</f>
        <v>5296</v>
      </c>
      <c r="D37" s="94">
        <f>8*D25</f>
        <v>5296</v>
      </c>
      <c r="E37" s="94">
        <f>8*E25</f>
        <v>11112</v>
      </c>
      <c r="F37" s="94">
        <f>8*F25</f>
        <v>11112</v>
      </c>
    </row>
    <row r="38" spans="1:6" ht="20" customHeight="1" x14ac:dyDescent="0.15">
      <c r="A38" s="90" t="s">
        <v>76</v>
      </c>
      <c r="B38" s="91">
        <f>3*B25</f>
        <v>1986</v>
      </c>
      <c r="C38" s="92">
        <f>3*C25</f>
        <v>1986</v>
      </c>
      <c r="D38" s="92">
        <f>3*D25</f>
        <v>1986</v>
      </c>
      <c r="E38" s="92">
        <f>3*E25</f>
        <v>4167</v>
      </c>
      <c r="F38" s="92">
        <f>3*F25</f>
        <v>4167</v>
      </c>
    </row>
    <row r="39" spans="1:6" ht="20" customHeight="1" x14ac:dyDescent="0.15">
      <c r="A39" s="90" t="s">
        <v>77</v>
      </c>
      <c r="B39" s="93">
        <v>1246</v>
      </c>
      <c r="C39" s="94">
        <v>2395</v>
      </c>
      <c r="D39" s="94">
        <v>3567</v>
      </c>
      <c r="E39" s="94">
        <v>5032</v>
      </c>
      <c r="F39" s="94">
        <v>9060</v>
      </c>
    </row>
    <row r="40" spans="1:6" ht="20" customHeight="1" x14ac:dyDescent="0.15">
      <c r="A40" s="90" t="s">
        <v>72</v>
      </c>
      <c r="B40" s="91">
        <v>1929</v>
      </c>
      <c r="C40" s="92">
        <v>3705</v>
      </c>
      <c r="D40" s="92">
        <v>5518</v>
      </c>
      <c r="E40" s="92">
        <v>7786</v>
      </c>
      <c r="F40" s="92">
        <v>14017</v>
      </c>
    </row>
    <row r="41" spans="1:6" ht="20" customHeight="1" x14ac:dyDescent="0.15">
      <c r="A41" s="90" t="s">
        <v>73</v>
      </c>
      <c r="B41" s="93">
        <v>429</v>
      </c>
      <c r="C41" s="94">
        <v>823</v>
      </c>
      <c r="D41" s="94">
        <v>1226</v>
      </c>
      <c r="E41" s="94">
        <v>1730</v>
      </c>
      <c r="F41" s="94">
        <v>3115</v>
      </c>
    </row>
    <row r="42" spans="1:6" ht="20" customHeight="1" x14ac:dyDescent="0.15">
      <c r="A42" s="106" t="s">
        <v>78</v>
      </c>
      <c r="B42" s="91">
        <v>429</v>
      </c>
      <c r="C42" s="92">
        <v>823</v>
      </c>
      <c r="D42" s="92">
        <v>1226</v>
      </c>
      <c r="E42" s="92">
        <v>1730</v>
      </c>
      <c r="F42" s="92">
        <v>3115</v>
      </c>
    </row>
    <row r="43" spans="1:6" ht="20" customHeight="1" x14ac:dyDescent="0.15">
      <c r="A43" s="107" t="s">
        <v>75</v>
      </c>
      <c r="B43" s="88">
        <v>2.4E-2</v>
      </c>
      <c r="C43" s="108">
        <v>0.16300000000000001</v>
      </c>
      <c r="D43" s="108">
        <v>0.26200000000000001</v>
      </c>
      <c r="E43" s="108">
        <v>0.28599999999999998</v>
      </c>
      <c r="F43" s="108">
        <v>0.26500000000000001</v>
      </c>
    </row>
    <row r="44" spans="1:6" ht="20" customHeight="1" x14ac:dyDescent="0.15">
      <c r="A44" s="109" t="s">
        <v>17</v>
      </c>
      <c r="B44" s="110">
        <f>(B37*0.694)+(B38*0.306)+(B39*0.306)+(B40*0.24)+(B41*0.192)+(B42*0.118)</f>
        <v>5260.366</v>
      </c>
      <c r="C44" s="92">
        <f>(C37*0.694)+(C38*0.306)+(C39*0.306)+(C40*0.24)+(C41*0.192)+(C42*0.118)</f>
        <v>6160.3399999999983</v>
      </c>
      <c r="D44" s="92">
        <f>(D37*0.694)+(D38*0.306)+(D39*0.306)+(D40*0.24)+(D41*0.192)+(D42*0.118)</f>
        <v>7079.021999999999</v>
      </c>
      <c r="E44" s="92">
        <f>(E37*0.694)+(E38*0.306)+(E39*0.306)+(E40*0.24)+(E41*0.192)+(E42*0.118)</f>
        <v>12931.561999999998</v>
      </c>
      <c r="F44" s="92">
        <f>(F37*0.694)+(F38*0.306)+(F39*0.306)+(F40*0.24)+(F41*0.192)+(F42*0.118)</f>
        <v>16088.92</v>
      </c>
    </row>
    <row r="45" spans="1:6" ht="20" customHeight="1" x14ac:dyDescent="0.15">
      <c r="A45" s="111" t="s">
        <v>30</v>
      </c>
      <c r="B45" s="112">
        <f>(B44*B43)+(C44*C43)+(D44*D43)+(E44*E43)+(F44*F43)</f>
        <v>10947.0785</v>
      </c>
      <c r="C45" s="94"/>
      <c r="D45" s="94"/>
      <c r="E45" s="94"/>
      <c r="F45" s="94"/>
    </row>
    <row r="46" spans="1:6" ht="19" customHeight="1" x14ac:dyDescent="0.15">
      <c r="A46" s="19"/>
      <c r="B46" s="16"/>
      <c r="C46" s="20"/>
      <c r="D46" s="11"/>
      <c r="E46" s="11"/>
      <c r="F46" s="11"/>
    </row>
    <row r="47" spans="1:6" ht="19" customHeight="1" x14ac:dyDescent="0.15">
      <c r="A47" s="19"/>
      <c r="B47" s="27"/>
      <c r="C47" s="8"/>
      <c r="D47" s="14"/>
      <c r="E47" s="14"/>
      <c r="F47" s="14"/>
    </row>
    <row r="48" spans="1:6" ht="30" customHeight="1" x14ac:dyDescent="0.15">
      <c r="A48" s="36" t="s">
        <v>79</v>
      </c>
      <c r="B48" s="37">
        <f>B34-B11</f>
        <v>6356.4339882701934</v>
      </c>
      <c r="C48" s="4"/>
      <c r="D48" s="5"/>
      <c r="E48" s="5"/>
      <c r="F48" s="5"/>
    </row>
    <row r="49" spans="1:6" ht="30" customHeight="1" x14ac:dyDescent="0.15">
      <c r="A49" s="36" t="s">
        <v>79</v>
      </c>
      <c r="B49" s="21">
        <f>B48/B11</f>
        <v>0.48001931336174941</v>
      </c>
      <c r="C49" s="4"/>
      <c r="D49" s="5"/>
      <c r="E49" s="5"/>
      <c r="F49" s="5"/>
    </row>
    <row r="50" spans="1:6" ht="19" customHeight="1" x14ac:dyDescent="0.15">
      <c r="A50" s="113"/>
      <c r="B50" s="21"/>
      <c r="C50" s="4"/>
      <c r="D50" s="5"/>
      <c r="E50" s="5"/>
      <c r="F50" s="5"/>
    </row>
    <row r="51" spans="1:6" ht="30" customHeight="1" x14ac:dyDescent="0.15">
      <c r="A51" s="36" t="s">
        <v>80</v>
      </c>
      <c r="B51" s="37">
        <f>B21-B45</f>
        <v>1942.4379799999988</v>
      </c>
      <c r="C51" s="4"/>
      <c r="D51" s="5"/>
      <c r="E51" s="5"/>
      <c r="F51" s="5"/>
    </row>
    <row r="52" spans="1:6" ht="30" customHeight="1" x14ac:dyDescent="0.15">
      <c r="A52" s="36" t="s">
        <v>80</v>
      </c>
      <c r="B52" s="21">
        <f>B51/B21</f>
        <v>0.15069905709915343</v>
      </c>
      <c r="C52" s="4"/>
      <c r="D52" s="5"/>
      <c r="E52" s="5"/>
      <c r="F52" s="5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 - Intellectual Disability - </vt:lpstr>
      <vt:lpstr>LD_Autism - Learning Disability</vt:lpstr>
      <vt:lpstr>Physical - Physical Disability </vt:lpstr>
      <vt:lpstr>Psychiatric - Psychiatric Disab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Cain</cp:lastModifiedBy>
  <dcterms:modified xsi:type="dcterms:W3CDTF">2018-08-23T12:59:43Z</dcterms:modified>
</cp:coreProperties>
</file>